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chart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FACTOR\Eduardo\5 Apoyo Curso\"/>
    </mc:Choice>
  </mc:AlternateContent>
  <bookViews>
    <workbookView xWindow="0" yWindow="0" windowWidth="15360" windowHeight="8520" firstSheet="15" activeTab="17"/>
  </bookViews>
  <sheets>
    <sheet name="Start" sheetId="26" r:id="rId1"/>
    <sheet name="Grid-EF" sheetId="9" r:id="rId2"/>
    <sheet name="OM_EF_2017" sheetId="24" r:id="rId3"/>
    <sheet name="OM_EF_2016" sheetId="23" r:id="rId4"/>
    <sheet name="OM_EF_2015" sheetId="21" r:id="rId5"/>
    <sheet name="OM_EF_2014" sheetId="19" r:id="rId6"/>
    <sheet name="OM_EF_2013" sheetId="17" r:id="rId7"/>
    <sheet name="OM_EF_2012" sheetId="15" r:id="rId8"/>
    <sheet name="OM_EF_2011" sheetId="13" r:id="rId9"/>
    <sheet name="OM_EF_2010" sheetId="7" r:id="rId10"/>
    <sheet name="OM_EF_2009" sheetId="6" r:id="rId11"/>
    <sheet name="OM_EF_2008" sheetId="5" r:id="rId12"/>
    <sheet name="BM_EF_2017" sheetId="25" r:id="rId13"/>
    <sheet name="BM_EF_2010" sheetId="8" r:id="rId14"/>
    <sheet name="GHG-ER" sheetId="10" r:id="rId15"/>
    <sheet name="GHG-ER-SC-&gt;CC" sheetId="31" r:id="rId16"/>
    <sheet name="Investment" sheetId="34" r:id="rId17"/>
    <sheet name="Levelized Cost" sheetId="35" r:id="rId18"/>
    <sheet name="Scenario_Current_Demand" sheetId="27" r:id="rId19"/>
    <sheet name="Scenario_NDC" sheetId="29" r:id="rId20"/>
    <sheet name="Scenario_100%_RE" sheetId="30" r:id="rId21"/>
    <sheet name="Graphs" sheetId="28" r:id="rId22"/>
    <sheet name="Leakage_EF_2010" sheetId="11" r:id="rId23"/>
    <sheet name="Unit_EF_2008" sheetId="3" r:id="rId24"/>
    <sheet name="References" sheetId="2" r:id="rId2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6" i="35" l="1"/>
  <c r="A17" i="35"/>
  <c r="A29" i="35" s="1"/>
  <c r="A41" i="35" s="1"/>
  <c r="A18" i="35"/>
  <c r="A30" i="35" s="1"/>
  <c r="A42" i="35" s="1"/>
  <c r="A19" i="35"/>
  <c r="A31" i="35" s="1"/>
  <c r="A43" i="35" s="1"/>
  <c r="A20" i="35"/>
  <c r="A32" i="35" s="1"/>
  <c r="A44" i="35" s="1"/>
  <c r="A21" i="35"/>
  <c r="A33" i="35" s="1"/>
  <c r="A45" i="35" s="1"/>
  <c r="A22" i="35"/>
  <c r="A34" i="35" s="1"/>
  <c r="A46" i="35" s="1"/>
  <c r="A16" i="35"/>
  <c r="A28" i="35" s="1"/>
  <c r="A40" i="35" s="1"/>
  <c r="O46" i="35"/>
  <c r="N46" i="35"/>
  <c r="M46" i="35"/>
  <c r="L46" i="35"/>
  <c r="K46" i="35"/>
  <c r="J46" i="35"/>
  <c r="I46" i="35"/>
  <c r="H46" i="35"/>
  <c r="G46" i="35"/>
  <c r="F46" i="35"/>
  <c r="E46" i="35"/>
  <c r="D46" i="35"/>
  <c r="O45" i="35"/>
  <c r="N45" i="35"/>
  <c r="M45" i="35"/>
  <c r="L45" i="35"/>
  <c r="K45" i="35"/>
  <c r="J45" i="35"/>
  <c r="I45" i="35"/>
  <c r="H45" i="35"/>
  <c r="G45" i="35"/>
  <c r="F45" i="35"/>
  <c r="E45" i="35"/>
  <c r="D45" i="35"/>
  <c r="O44" i="35"/>
  <c r="N44" i="35"/>
  <c r="M44" i="35"/>
  <c r="L44" i="35"/>
  <c r="K44" i="35"/>
  <c r="J44" i="35"/>
  <c r="I44" i="35"/>
  <c r="H44" i="35"/>
  <c r="G44" i="35"/>
  <c r="F44" i="35"/>
  <c r="E44" i="35"/>
  <c r="D44" i="35"/>
  <c r="O43" i="35"/>
  <c r="N43" i="35"/>
  <c r="M43" i="35"/>
  <c r="L43" i="35"/>
  <c r="K43" i="35"/>
  <c r="J43" i="35"/>
  <c r="I43" i="35"/>
  <c r="H43" i="35"/>
  <c r="G43" i="35"/>
  <c r="F43" i="35"/>
  <c r="E43" i="35"/>
  <c r="D43" i="35"/>
  <c r="O42" i="35"/>
  <c r="N42" i="35"/>
  <c r="M42" i="35"/>
  <c r="L42" i="35"/>
  <c r="K42" i="35"/>
  <c r="J42" i="35"/>
  <c r="I42" i="35"/>
  <c r="H42" i="35"/>
  <c r="G42" i="35"/>
  <c r="F42" i="35"/>
  <c r="E42" i="35"/>
  <c r="D42" i="35"/>
  <c r="O41" i="35"/>
  <c r="N41" i="35"/>
  <c r="M41" i="35"/>
  <c r="L41" i="35"/>
  <c r="L38" i="35" s="1"/>
  <c r="K41" i="35"/>
  <c r="J41" i="35"/>
  <c r="I41" i="35"/>
  <c r="H41" i="35"/>
  <c r="G41" i="35"/>
  <c r="F41" i="35"/>
  <c r="E41" i="35"/>
  <c r="D41" i="35"/>
  <c r="D38" i="35" s="1"/>
  <c r="O40" i="35"/>
  <c r="N40" i="35"/>
  <c r="M40" i="35"/>
  <c r="L40" i="35"/>
  <c r="K40" i="35"/>
  <c r="J40" i="35"/>
  <c r="I40" i="35"/>
  <c r="H40" i="35"/>
  <c r="H38" i="35" s="1"/>
  <c r="G40" i="35"/>
  <c r="F40" i="35"/>
  <c r="E40" i="35"/>
  <c r="D40" i="35"/>
  <c r="C46" i="35"/>
  <c r="C45" i="35"/>
  <c r="C44" i="35"/>
  <c r="C43" i="35"/>
  <c r="C42" i="35"/>
  <c r="C41" i="35"/>
  <c r="C40" i="35"/>
  <c r="O34" i="35"/>
  <c r="N34" i="35"/>
  <c r="M34" i="35"/>
  <c r="L34" i="35"/>
  <c r="K34" i="35"/>
  <c r="J34" i="35"/>
  <c r="I34" i="35"/>
  <c r="H34" i="35"/>
  <c r="G34" i="35"/>
  <c r="F34" i="35"/>
  <c r="E34" i="35"/>
  <c r="D34" i="35"/>
  <c r="O33" i="35"/>
  <c r="N33" i="35"/>
  <c r="M33" i="35"/>
  <c r="L33" i="35"/>
  <c r="K33" i="35"/>
  <c r="J33" i="35"/>
  <c r="I33" i="35"/>
  <c r="H33" i="35"/>
  <c r="G33" i="35"/>
  <c r="F33" i="35"/>
  <c r="E33" i="35"/>
  <c r="D33" i="35"/>
  <c r="O32" i="35"/>
  <c r="N32" i="35"/>
  <c r="M32" i="35"/>
  <c r="L32" i="35"/>
  <c r="K32" i="35"/>
  <c r="J32" i="35"/>
  <c r="I32" i="35"/>
  <c r="H32" i="35"/>
  <c r="G32" i="35"/>
  <c r="F32" i="35"/>
  <c r="E32" i="35"/>
  <c r="D32" i="35"/>
  <c r="O31" i="35"/>
  <c r="N31" i="35"/>
  <c r="M31" i="35"/>
  <c r="L31" i="35"/>
  <c r="K31" i="35"/>
  <c r="J31" i="35"/>
  <c r="I31" i="35"/>
  <c r="H31" i="35"/>
  <c r="G31" i="35"/>
  <c r="F31" i="35"/>
  <c r="E31" i="35"/>
  <c r="D31" i="35"/>
  <c r="O30" i="35"/>
  <c r="N30" i="35"/>
  <c r="M30" i="35"/>
  <c r="L30" i="35"/>
  <c r="K30" i="35"/>
  <c r="J30" i="35"/>
  <c r="I30" i="35"/>
  <c r="H30" i="35"/>
  <c r="G30" i="35"/>
  <c r="F30" i="35"/>
  <c r="E30" i="35"/>
  <c r="D30" i="35"/>
  <c r="O29" i="35"/>
  <c r="N29" i="35"/>
  <c r="M29" i="35"/>
  <c r="L29" i="35"/>
  <c r="K29" i="35"/>
  <c r="J29" i="35"/>
  <c r="I29" i="35"/>
  <c r="H29" i="35"/>
  <c r="G29" i="35"/>
  <c r="F29" i="35"/>
  <c r="E29" i="35"/>
  <c r="D29" i="35"/>
  <c r="O28" i="35"/>
  <c r="N28" i="35"/>
  <c r="M28" i="35"/>
  <c r="L28" i="35"/>
  <c r="L26" i="35" s="1"/>
  <c r="K28" i="35"/>
  <c r="K26" i="35" s="1"/>
  <c r="J28" i="35"/>
  <c r="I28" i="35"/>
  <c r="H28" i="35"/>
  <c r="G28" i="35"/>
  <c r="F28" i="35"/>
  <c r="E28" i="35"/>
  <c r="D28" i="35"/>
  <c r="D26" i="35" s="1"/>
  <c r="C34" i="35"/>
  <c r="C33" i="35"/>
  <c r="C32" i="35"/>
  <c r="C31" i="35"/>
  <c r="C30" i="35"/>
  <c r="C29" i="35"/>
  <c r="C28" i="35"/>
  <c r="D16" i="35"/>
  <c r="E16" i="35"/>
  <c r="F16" i="35"/>
  <c r="G16" i="35"/>
  <c r="H16" i="35"/>
  <c r="I16" i="35"/>
  <c r="J16" i="35"/>
  <c r="K16" i="35"/>
  <c r="L16" i="35"/>
  <c r="M16" i="35"/>
  <c r="N16" i="35"/>
  <c r="O16" i="35"/>
  <c r="D17" i="35"/>
  <c r="E17" i="35"/>
  <c r="F17" i="35"/>
  <c r="G17" i="35"/>
  <c r="H17" i="35"/>
  <c r="I17" i="35"/>
  <c r="J17" i="35"/>
  <c r="K17" i="35"/>
  <c r="L17" i="35"/>
  <c r="M17" i="35"/>
  <c r="N17" i="35"/>
  <c r="O17" i="35"/>
  <c r="D18" i="35"/>
  <c r="E18" i="35"/>
  <c r="F18" i="35"/>
  <c r="G18" i="35"/>
  <c r="H18" i="35"/>
  <c r="I18" i="35"/>
  <c r="J18" i="35"/>
  <c r="K18" i="35"/>
  <c r="L18" i="35"/>
  <c r="M18" i="35"/>
  <c r="N18" i="35"/>
  <c r="O18" i="35"/>
  <c r="D19" i="35"/>
  <c r="E19" i="35"/>
  <c r="F19" i="35"/>
  <c r="G19" i="35"/>
  <c r="H19" i="35"/>
  <c r="I19" i="35"/>
  <c r="J19" i="35"/>
  <c r="K19" i="35"/>
  <c r="L19" i="35"/>
  <c r="M19" i="35"/>
  <c r="N19" i="35"/>
  <c r="O19" i="35"/>
  <c r="D20" i="35"/>
  <c r="E20" i="35"/>
  <c r="F20" i="35"/>
  <c r="G20" i="35"/>
  <c r="H20" i="35"/>
  <c r="I20" i="35"/>
  <c r="J20" i="35"/>
  <c r="K20" i="35"/>
  <c r="L20" i="35"/>
  <c r="M20" i="35"/>
  <c r="N20" i="35"/>
  <c r="O20" i="35"/>
  <c r="D21" i="35"/>
  <c r="E21" i="35"/>
  <c r="F21" i="35"/>
  <c r="G21" i="35"/>
  <c r="H21" i="35"/>
  <c r="I21" i="35"/>
  <c r="J21" i="35"/>
  <c r="K21" i="35"/>
  <c r="L21" i="35"/>
  <c r="M21" i="35"/>
  <c r="N21" i="35"/>
  <c r="O21" i="35"/>
  <c r="D22" i="35"/>
  <c r="E22" i="35"/>
  <c r="F22" i="35"/>
  <c r="G22" i="35"/>
  <c r="H22" i="35"/>
  <c r="I22" i="35"/>
  <c r="J22" i="35"/>
  <c r="K22" i="35"/>
  <c r="L22" i="35"/>
  <c r="M22" i="35"/>
  <c r="N22" i="35"/>
  <c r="O22" i="35"/>
  <c r="C22" i="35"/>
  <c r="C21" i="35"/>
  <c r="C20" i="35"/>
  <c r="C19" i="35"/>
  <c r="C18" i="35"/>
  <c r="C17" i="35"/>
  <c r="C16" i="35"/>
  <c r="P38" i="30"/>
  <c r="Q38" i="30"/>
  <c r="R38" i="30"/>
  <c r="S38" i="30"/>
  <c r="T38" i="30"/>
  <c r="U38" i="30"/>
  <c r="V38" i="30"/>
  <c r="W38" i="30"/>
  <c r="X38" i="30"/>
  <c r="Y38" i="30"/>
  <c r="Z38" i="30"/>
  <c r="AA38" i="30"/>
  <c r="O38" i="30"/>
  <c r="AA38" i="29"/>
  <c r="Z38" i="29"/>
  <c r="Y38" i="29"/>
  <c r="X38" i="29"/>
  <c r="W38" i="29"/>
  <c r="V38" i="29"/>
  <c r="U38" i="29"/>
  <c r="T38" i="29"/>
  <c r="S38" i="29"/>
  <c r="R38" i="29"/>
  <c r="Q38" i="29"/>
  <c r="P38" i="29"/>
  <c r="O38" i="29"/>
  <c r="F26" i="35" l="1"/>
  <c r="K38" i="35"/>
  <c r="G38" i="35"/>
  <c r="O38" i="35"/>
  <c r="I26" i="35"/>
  <c r="E26" i="35"/>
  <c r="M26" i="35"/>
  <c r="I14" i="35"/>
  <c r="G26" i="35"/>
  <c r="O26" i="35"/>
  <c r="I38" i="35"/>
  <c r="E38" i="35"/>
  <c r="M38" i="35"/>
  <c r="H26" i="35"/>
  <c r="J38" i="35"/>
  <c r="F38" i="35"/>
  <c r="N38" i="35"/>
  <c r="N26" i="35"/>
  <c r="C38" i="35"/>
  <c r="D14" i="35"/>
  <c r="N14" i="35"/>
  <c r="F14" i="35"/>
  <c r="J26" i="35"/>
  <c r="C26" i="35"/>
  <c r="H14" i="35"/>
  <c r="O14" i="35"/>
  <c r="C14" i="35"/>
  <c r="G14" i="35"/>
  <c r="M14" i="35"/>
  <c r="E14" i="35"/>
  <c r="K14" i="35"/>
  <c r="J14" i="35"/>
  <c r="L14" i="35"/>
  <c r="C15" i="35"/>
  <c r="O27" i="35"/>
  <c r="M39" i="35"/>
  <c r="I39" i="35"/>
  <c r="C39" i="35"/>
  <c r="N39" i="35"/>
  <c r="F39" i="35"/>
  <c r="J39" i="35"/>
  <c r="L39" i="35"/>
  <c r="D39" i="35"/>
  <c r="H39" i="35"/>
  <c r="E39" i="35"/>
  <c r="K39" i="35"/>
  <c r="O39" i="35"/>
  <c r="G39" i="35"/>
  <c r="C27" i="35"/>
  <c r="L27" i="35"/>
  <c r="H27" i="35"/>
  <c r="K27" i="35"/>
  <c r="N27" i="35"/>
  <c r="G27" i="35"/>
  <c r="F27" i="35"/>
  <c r="J27" i="35"/>
  <c r="M27" i="35"/>
  <c r="I27" i="35"/>
  <c r="E27" i="35"/>
  <c r="D27" i="35"/>
  <c r="E15" i="35"/>
  <c r="I15" i="35"/>
  <c r="M15" i="35"/>
  <c r="H15" i="35"/>
  <c r="J15" i="35"/>
  <c r="O15" i="35"/>
  <c r="G15" i="35"/>
  <c r="N15" i="35"/>
  <c r="F15" i="35"/>
  <c r="L15" i="35"/>
  <c r="D15" i="35"/>
  <c r="K15" i="35"/>
  <c r="B25" i="35" l="1"/>
  <c r="B37" i="35"/>
  <c r="B13" i="35"/>
  <c r="F10" i="34" l="1"/>
  <c r="O192" i="27" l="1"/>
  <c r="A27" i="35"/>
  <c r="A39" i="35" s="1"/>
  <c r="N140" i="34" l="1"/>
  <c r="R13" i="34"/>
  <c r="N138" i="34"/>
  <c r="N136" i="34"/>
  <c r="Q13" i="34"/>
  <c r="P13" i="34"/>
  <c r="N13" i="34"/>
  <c r="Q12" i="34"/>
  <c r="P12" i="34"/>
  <c r="N12" i="34"/>
  <c r="Q11" i="34"/>
  <c r="P11" i="34"/>
  <c r="N11" i="34"/>
  <c r="Q10" i="34"/>
  <c r="P10" i="34"/>
  <c r="N10" i="34"/>
  <c r="Q9" i="34"/>
  <c r="P9" i="34"/>
  <c r="N9" i="34"/>
  <c r="Q8" i="34"/>
  <c r="P8" i="34"/>
  <c r="N8" i="34"/>
  <c r="K13" i="34"/>
  <c r="J13" i="34"/>
  <c r="H13" i="34"/>
  <c r="K12" i="34"/>
  <c r="J12" i="34"/>
  <c r="H12" i="34"/>
  <c r="K11" i="34"/>
  <c r="J11" i="34"/>
  <c r="H11" i="34"/>
  <c r="K10" i="34"/>
  <c r="J10" i="34"/>
  <c r="H10" i="34"/>
  <c r="K9" i="34"/>
  <c r="H9" i="34"/>
  <c r="K8" i="34"/>
  <c r="J8" i="34"/>
  <c r="H8" i="34"/>
  <c r="E13" i="34"/>
  <c r="E12" i="34"/>
  <c r="E11" i="34"/>
  <c r="E10" i="34"/>
  <c r="E9" i="34"/>
  <c r="E8" i="34"/>
  <c r="D13" i="34"/>
  <c r="D11" i="34"/>
  <c r="D12" i="34"/>
  <c r="D10" i="34"/>
  <c r="D8" i="34"/>
  <c r="B13" i="34"/>
  <c r="B12" i="34"/>
  <c r="B11" i="34"/>
  <c r="B10" i="34"/>
  <c r="B9" i="34"/>
  <c r="B8" i="34"/>
  <c r="R129" i="34"/>
  <c r="R12" i="34" s="1"/>
  <c r="Q114" i="34"/>
  <c r="R114" i="34" s="1"/>
  <c r="R112" i="34"/>
  <c r="Q96" i="34"/>
  <c r="Q98" i="34" s="1"/>
  <c r="R94" i="34"/>
  <c r="Q47" i="34"/>
  <c r="R47" i="34" s="1"/>
  <c r="R46" i="34"/>
  <c r="Q20" i="34"/>
  <c r="Q21" i="34" s="1"/>
  <c r="R19" i="34"/>
  <c r="K138" i="34"/>
  <c r="K140" i="34" s="1"/>
  <c r="L140" i="34" s="1"/>
  <c r="L136" i="34"/>
  <c r="K131" i="34"/>
  <c r="L131" i="34" s="1"/>
  <c r="L129" i="34"/>
  <c r="K114" i="34"/>
  <c r="L114" i="34" s="1"/>
  <c r="L112" i="34"/>
  <c r="K96" i="34"/>
  <c r="K98" i="34" s="1"/>
  <c r="L94" i="34"/>
  <c r="K47" i="34"/>
  <c r="K49" i="34" s="1"/>
  <c r="L46" i="34"/>
  <c r="K20" i="34"/>
  <c r="K21" i="34" s="1"/>
  <c r="L19" i="34"/>
  <c r="E138" i="34"/>
  <c r="E140" i="34" s="1"/>
  <c r="F140" i="34" s="1"/>
  <c r="F136" i="34"/>
  <c r="L12" i="34" l="1"/>
  <c r="K116" i="34"/>
  <c r="K118" i="34" s="1"/>
  <c r="K120" i="34" s="1"/>
  <c r="P14" i="34"/>
  <c r="Q49" i="34"/>
  <c r="Q51" i="34" s="1"/>
  <c r="R51" i="34" s="1"/>
  <c r="Q116" i="34"/>
  <c r="R116" i="34" s="1"/>
  <c r="Q100" i="34"/>
  <c r="R98" i="34"/>
  <c r="R96" i="34"/>
  <c r="Q23" i="34"/>
  <c r="R21" i="34"/>
  <c r="R20" i="34"/>
  <c r="K100" i="34"/>
  <c r="L98" i="34"/>
  <c r="L21" i="34"/>
  <c r="K23" i="34"/>
  <c r="L49" i="34"/>
  <c r="K51" i="34"/>
  <c r="L96" i="34"/>
  <c r="L20" i="34"/>
  <c r="L47" i="34"/>
  <c r="L138" i="34"/>
  <c r="L13" i="34" s="1"/>
  <c r="F138" i="34"/>
  <c r="F13" i="34" s="1"/>
  <c r="E131" i="34"/>
  <c r="F131" i="34" s="1"/>
  <c r="F129" i="34"/>
  <c r="E114" i="34"/>
  <c r="E116" i="34" s="1"/>
  <c r="F112" i="34"/>
  <c r="E96" i="34"/>
  <c r="F96" i="34" s="1"/>
  <c r="F94" i="34"/>
  <c r="F46" i="34"/>
  <c r="E47" i="34"/>
  <c r="F47" i="34" s="1"/>
  <c r="F19" i="34"/>
  <c r="E20" i="34"/>
  <c r="E21" i="34" s="1"/>
  <c r="B140" i="34"/>
  <c r="B138" i="34"/>
  <c r="B136" i="34"/>
  <c r="B131" i="34"/>
  <c r="B124" i="34"/>
  <c r="B122" i="34"/>
  <c r="B120" i="34"/>
  <c r="B89" i="34"/>
  <c r="B87" i="34"/>
  <c r="B85" i="34"/>
  <c r="B83" i="34"/>
  <c r="B81" i="34"/>
  <c r="B79" i="34"/>
  <c r="D77" i="34"/>
  <c r="D9" i="34" s="1"/>
  <c r="D14" i="34" s="1"/>
  <c r="B77" i="34"/>
  <c r="B75" i="34"/>
  <c r="B73" i="34"/>
  <c r="B71" i="34"/>
  <c r="B69" i="34"/>
  <c r="B67" i="34"/>
  <c r="B65" i="34"/>
  <c r="B63" i="34"/>
  <c r="B61" i="34"/>
  <c r="B59" i="34"/>
  <c r="B57" i="34"/>
  <c r="B41" i="34"/>
  <c r="B39" i="34"/>
  <c r="B37" i="34"/>
  <c r="B35" i="34"/>
  <c r="B33" i="34"/>
  <c r="H140" i="34"/>
  <c r="H138" i="34"/>
  <c r="H136" i="34"/>
  <c r="H131" i="34"/>
  <c r="H124" i="34"/>
  <c r="H122" i="34"/>
  <c r="H120" i="34"/>
  <c r="H89" i="34"/>
  <c r="H87" i="34"/>
  <c r="H85" i="34"/>
  <c r="H83" i="34"/>
  <c r="H81" i="34"/>
  <c r="H79" i="34"/>
  <c r="J77" i="34"/>
  <c r="J9" i="34" s="1"/>
  <c r="J14" i="34" s="1"/>
  <c r="H77" i="34"/>
  <c r="H75" i="34"/>
  <c r="H73" i="34"/>
  <c r="H71" i="34"/>
  <c r="H69" i="34"/>
  <c r="H67" i="34"/>
  <c r="H65" i="34"/>
  <c r="H63" i="34"/>
  <c r="H61" i="34"/>
  <c r="H59" i="34"/>
  <c r="H57" i="34"/>
  <c r="H41" i="34"/>
  <c r="H39" i="34"/>
  <c r="H37" i="34"/>
  <c r="H35" i="34"/>
  <c r="H33" i="34"/>
  <c r="Q118" i="34" l="1"/>
  <c r="R118" i="34" s="1"/>
  <c r="R11" i="34" s="1"/>
  <c r="L116" i="34"/>
  <c r="F12" i="34"/>
  <c r="L118" i="34"/>
  <c r="F21" i="34"/>
  <c r="E23" i="34"/>
  <c r="Q53" i="34"/>
  <c r="Q55" i="34" s="1"/>
  <c r="E98" i="34"/>
  <c r="F98" i="34" s="1"/>
  <c r="E49" i="34"/>
  <c r="F20" i="34"/>
  <c r="R49" i="34"/>
  <c r="Q101" i="34"/>
  <c r="R101" i="34" s="1"/>
  <c r="R100" i="34"/>
  <c r="Q24" i="34"/>
  <c r="R23" i="34"/>
  <c r="K53" i="34"/>
  <c r="L51" i="34"/>
  <c r="K24" i="34"/>
  <c r="L23" i="34"/>
  <c r="K122" i="34"/>
  <c r="L122" i="34" s="1"/>
  <c r="L120" i="34"/>
  <c r="K101" i="34"/>
  <c r="L100" i="34"/>
  <c r="E100" i="34"/>
  <c r="F116" i="34"/>
  <c r="E118" i="34"/>
  <c r="F114" i="34"/>
  <c r="R53" i="34" l="1"/>
  <c r="R10" i="34"/>
  <c r="L11" i="34"/>
  <c r="F23" i="34"/>
  <c r="E24" i="34"/>
  <c r="F49" i="34"/>
  <c r="E51" i="34"/>
  <c r="R55" i="34"/>
  <c r="Q57" i="34"/>
  <c r="Q25" i="34"/>
  <c r="R24" i="34"/>
  <c r="L101" i="34"/>
  <c r="K103" i="34"/>
  <c r="L103" i="34" s="1"/>
  <c r="K25" i="34"/>
  <c r="L24" i="34"/>
  <c r="K55" i="34"/>
  <c r="L53" i="34"/>
  <c r="F100" i="34"/>
  <c r="E101" i="34"/>
  <c r="F118" i="34"/>
  <c r="E120" i="34"/>
  <c r="L10" i="34" l="1"/>
  <c r="F51" i="34"/>
  <c r="E53" i="34"/>
  <c r="F24" i="34"/>
  <c r="E25" i="34"/>
  <c r="R57" i="34"/>
  <c r="Q59" i="34"/>
  <c r="R59" i="34" s="1"/>
  <c r="R25" i="34"/>
  <c r="Q26" i="34"/>
  <c r="L25" i="34"/>
  <c r="K26" i="34"/>
  <c r="K57" i="34"/>
  <c r="L55" i="34"/>
  <c r="E103" i="34"/>
  <c r="F103" i="34" s="1"/>
  <c r="F101" i="34"/>
  <c r="F120" i="34"/>
  <c r="E122" i="34"/>
  <c r="F122" i="34" s="1"/>
  <c r="F11" i="34" l="1"/>
  <c r="R9" i="34"/>
  <c r="F25" i="34"/>
  <c r="E26" i="34"/>
  <c r="E55" i="34"/>
  <c r="F53" i="34"/>
  <c r="Q28" i="34"/>
  <c r="R26" i="34"/>
  <c r="L57" i="34"/>
  <c r="K59" i="34"/>
  <c r="K28" i="34"/>
  <c r="L26" i="34"/>
  <c r="E57" i="34" l="1"/>
  <c r="F55" i="34"/>
  <c r="E28" i="34"/>
  <c r="F26" i="34"/>
  <c r="Q29" i="34"/>
  <c r="R28" i="34"/>
  <c r="K29" i="34"/>
  <c r="L28" i="34"/>
  <c r="K61" i="34"/>
  <c r="L59" i="34"/>
  <c r="E29" i="34" l="1"/>
  <c r="F28" i="34"/>
  <c r="E59" i="34"/>
  <c r="F57" i="34"/>
  <c r="Q30" i="34"/>
  <c r="R29" i="34"/>
  <c r="K63" i="34"/>
  <c r="L61" i="34"/>
  <c r="L29" i="34"/>
  <c r="K30" i="34"/>
  <c r="E30" i="34" l="1"/>
  <c r="F29" i="34"/>
  <c r="E61" i="34"/>
  <c r="F59" i="34"/>
  <c r="Q31" i="34"/>
  <c r="R31" i="34" s="1"/>
  <c r="R30" i="34"/>
  <c r="L30" i="34"/>
  <c r="K31" i="34"/>
  <c r="K65" i="34"/>
  <c r="L63" i="34"/>
  <c r="R8" i="34" l="1"/>
  <c r="R14" i="34" s="1"/>
  <c r="E31" i="34"/>
  <c r="F30" i="34"/>
  <c r="F61" i="34"/>
  <c r="E63" i="34"/>
  <c r="L65" i="34"/>
  <c r="K67" i="34"/>
  <c r="K33" i="34"/>
  <c r="L31" i="34"/>
  <c r="F63" i="34" l="1"/>
  <c r="E65" i="34"/>
  <c r="F31" i="34"/>
  <c r="E33" i="34"/>
  <c r="K35" i="34"/>
  <c r="L33" i="34"/>
  <c r="K69" i="34"/>
  <c r="L67" i="34"/>
  <c r="F33" i="34" l="1"/>
  <c r="E35" i="34"/>
  <c r="F65" i="34"/>
  <c r="E67" i="34"/>
  <c r="K71" i="34"/>
  <c r="L69" i="34"/>
  <c r="L35" i="34"/>
  <c r="K37" i="34"/>
  <c r="L37" i="34" s="1"/>
  <c r="L8" i="34" s="1"/>
  <c r="F67" i="34" l="1"/>
  <c r="E69" i="34"/>
  <c r="F35" i="34"/>
  <c r="E37" i="34"/>
  <c r="F37" i="34" s="1"/>
  <c r="F8" i="34" s="1"/>
  <c r="K73" i="34"/>
  <c r="L71" i="34"/>
  <c r="E71" i="34" l="1"/>
  <c r="F69" i="34"/>
  <c r="L73" i="34"/>
  <c r="K75" i="34"/>
  <c r="AA21" i="27"/>
  <c r="E73" i="34" l="1"/>
  <c r="F71" i="34"/>
  <c r="L75" i="34"/>
  <c r="K77" i="34"/>
  <c r="Q38" i="9"/>
  <c r="R38" i="9"/>
  <c r="S38" i="9"/>
  <c r="T38" i="9"/>
  <c r="U38" i="9"/>
  <c r="V38" i="9"/>
  <c r="W38" i="9"/>
  <c r="X38" i="9"/>
  <c r="Y38" i="9"/>
  <c r="Z38" i="9"/>
  <c r="AA38" i="9"/>
  <c r="AB38" i="9"/>
  <c r="P38" i="9"/>
  <c r="O39" i="9"/>
  <c r="N39" i="9"/>
  <c r="M39" i="9"/>
  <c r="L39" i="9"/>
  <c r="K39" i="9"/>
  <c r="J39" i="9"/>
  <c r="I39" i="9"/>
  <c r="H39" i="9"/>
  <c r="G39" i="9"/>
  <c r="F39" i="9"/>
  <c r="O38" i="9"/>
  <c r="N38" i="9"/>
  <c r="M38" i="9"/>
  <c r="L38" i="9"/>
  <c r="K38" i="9"/>
  <c r="J38" i="9"/>
  <c r="I38" i="9"/>
  <c r="H38" i="9"/>
  <c r="G38" i="9"/>
  <c r="F38" i="9"/>
  <c r="O46" i="29"/>
  <c r="Q32" i="9"/>
  <c r="R32" i="9"/>
  <c r="S32" i="9"/>
  <c r="T32" i="9"/>
  <c r="U32" i="9"/>
  <c r="V32" i="9"/>
  <c r="W32" i="9"/>
  <c r="X32" i="9"/>
  <c r="Y32" i="9"/>
  <c r="Z32" i="9"/>
  <c r="AA32" i="9"/>
  <c r="AB32" i="9"/>
  <c r="P32" i="9"/>
  <c r="O33" i="9"/>
  <c r="N33" i="9"/>
  <c r="M33" i="9"/>
  <c r="L33" i="9"/>
  <c r="K33" i="9"/>
  <c r="J33" i="9"/>
  <c r="I33" i="9"/>
  <c r="H33" i="9"/>
  <c r="G33" i="9"/>
  <c r="F33" i="9"/>
  <c r="O32" i="9"/>
  <c r="N32" i="9"/>
  <c r="M32" i="9"/>
  <c r="L32" i="9"/>
  <c r="K32" i="9"/>
  <c r="J32" i="9"/>
  <c r="I32" i="9"/>
  <c r="H32" i="9"/>
  <c r="G32" i="9"/>
  <c r="F32" i="9"/>
  <c r="Q27" i="9"/>
  <c r="R27" i="9"/>
  <c r="S27" i="9"/>
  <c r="T27" i="9"/>
  <c r="U27" i="9"/>
  <c r="V27" i="9"/>
  <c r="W27" i="9"/>
  <c r="X27" i="9"/>
  <c r="Y27" i="9"/>
  <c r="Z27" i="9"/>
  <c r="AA27" i="9"/>
  <c r="AB27" i="9"/>
  <c r="P27" i="9"/>
  <c r="O27" i="9"/>
  <c r="N27" i="9"/>
  <c r="M27" i="9"/>
  <c r="L27" i="9"/>
  <c r="K27" i="9"/>
  <c r="J27" i="9"/>
  <c r="I27" i="9"/>
  <c r="H27" i="9"/>
  <c r="G27" i="9"/>
  <c r="F27" i="9"/>
  <c r="O9" i="9"/>
  <c r="N9" i="9"/>
  <c r="M9" i="9"/>
  <c r="L9" i="9"/>
  <c r="K9" i="9"/>
  <c r="J9" i="9"/>
  <c r="I9" i="9"/>
  <c r="H9" i="9"/>
  <c r="G9" i="9"/>
  <c r="F9" i="9"/>
  <c r="Q26" i="9"/>
  <c r="R26" i="9"/>
  <c r="S26" i="9"/>
  <c r="T26" i="9"/>
  <c r="U26" i="9"/>
  <c r="V26" i="9"/>
  <c r="W26" i="9"/>
  <c r="X26" i="9"/>
  <c r="Y26" i="9"/>
  <c r="Z26" i="9"/>
  <c r="AA26" i="9"/>
  <c r="AB26" i="9"/>
  <c r="P26" i="9"/>
  <c r="O26" i="9"/>
  <c r="N26" i="9"/>
  <c r="M26" i="9"/>
  <c r="L26" i="9"/>
  <c r="K26" i="9"/>
  <c r="J26" i="9"/>
  <c r="I26" i="9"/>
  <c r="H26" i="9"/>
  <c r="G26" i="9"/>
  <c r="F26" i="9"/>
  <c r="O8" i="9"/>
  <c r="N8" i="9"/>
  <c r="M8" i="9"/>
  <c r="L8" i="9"/>
  <c r="K8" i="9"/>
  <c r="J8" i="9"/>
  <c r="I8" i="9"/>
  <c r="H8" i="9"/>
  <c r="G8" i="9"/>
  <c r="F8" i="9"/>
  <c r="E75" i="34" l="1"/>
  <c r="F73" i="34"/>
  <c r="K79" i="34"/>
  <c r="L77" i="34"/>
  <c r="E37" i="10"/>
  <c r="E36" i="10"/>
  <c r="E35" i="10"/>
  <c r="E34" i="10"/>
  <c r="O30" i="31"/>
  <c r="O29" i="31"/>
  <c r="P29" i="31" s="1"/>
  <c r="M30" i="31"/>
  <c r="N30" i="31" s="1"/>
  <c r="M29" i="31"/>
  <c r="Q28" i="31"/>
  <c r="K30" i="31"/>
  <c r="L30" i="31" s="1"/>
  <c r="K29" i="31"/>
  <c r="I30" i="31"/>
  <c r="I28" i="31" s="1"/>
  <c r="I29" i="31"/>
  <c r="H30" i="31"/>
  <c r="H29" i="31"/>
  <c r="G30" i="31"/>
  <c r="G29" i="31"/>
  <c r="H28" i="31"/>
  <c r="F30" i="31"/>
  <c r="F29" i="31"/>
  <c r="F28" i="31" s="1"/>
  <c r="X28" i="31"/>
  <c r="Y28" i="31" s="1"/>
  <c r="V28" i="31"/>
  <c r="AB28" i="31" s="1"/>
  <c r="S28" i="31"/>
  <c r="Q24" i="31"/>
  <c r="O26" i="31"/>
  <c r="O25" i="31"/>
  <c r="P25" i="31" s="1"/>
  <c r="M26" i="31"/>
  <c r="M25" i="31"/>
  <c r="K26" i="31"/>
  <c r="L26" i="31" s="1"/>
  <c r="K25" i="31"/>
  <c r="I26" i="31"/>
  <c r="I25" i="31"/>
  <c r="H26" i="31"/>
  <c r="H25" i="31"/>
  <c r="G26" i="31"/>
  <c r="G25" i="31"/>
  <c r="P26" i="31"/>
  <c r="F26" i="31"/>
  <c r="F25" i="31"/>
  <c r="F24" i="31" s="1"/>
  <c r="X24" i="31"/>
  <c r="Y24" i="31" s="1"/>
  <c r="V24" i="31"/>
  <c r="AB24" i="31" s="1"/>
  <c r="S24" i="31"/>
  <c r="I24" i="31"/>
  <c r="X20" i="31"/>
  <c r="Y20" i="31" s="1"/>
  <c r="X16" i="31"/>
  <c r="Y16" i="31" s="1"/>
  <c r="Z16" i="31" s="1"/>
  <c r="K34" i="10" s="1"/>
  <c r="V20" i="31"/>
  <c r="AB20" i="31" s="1"/>
  <c r="V16" i="31"/>
  <c r="AB16" i="31" s="1"/>
  <c r="S20" i="31"/>
  <c r="S16" i="31"/>
  <c r="Q20" i="31"/>
  <c r="O22" i="31"/>
  <c r="O21" i="31"/>
  <c r="P21" i="31" s="1"/>
  <c r="M22" i="31"/>
  <c r="N22" i="31" s="1"/>
  <c r="M21" i="31"/>
  <c r="K22" i="31"/>
  <c r="L22" i="31" s="1"/>
  <c r="K21" i="31"/>
  <c r="L21" i="31" s="1"/>
  <c r="G20" i="31"/>
  <c r="I22" i="31"/>
  <c r="P22" i="31" s="1"/>
  <c r="I21" i="31"/>
  <c r="I20" i="31" s="1"/>
  <c r="H22" i="31"/>
  <c r="H21" i="31"/>
  <c r="H20" i="31" s="1"/>
  <c r="J20" i="31" s="1"/>
  <c r="G22" i="31"/>
  <c r="G21" i="31"/>
  <c r="F22" i="31"/>
  <c r="F21" i="31"/>
  <c r="F20" i="31" s="1"/>
  <c r="K17" i="31"/>
  <c r="M18" i="31"/>
  <c r="M17" i="31"/>
  <c r="O18" i="31"/>
  <c r="K18" i="31"/>
  <c r="O17" i="31"/>
  <c r="G24" i="24"/>
  <c r="Q16" i="31"/>
  <c r="G18" i="31"/>
  <c r="G17" i="31"/>
  <c r="H17" i="31"/>
  <c r="H18" i="31"/>
  <c r="I18" i="31"/>
  <c r="I17" i="31"/>
  <c r="E77" i="34" l="1"/>
  <c r="F75" i="34"/>
  <c r="K81" i="34"/>
  <c r="L79" i="34"/>
  <c r="Z28" i="31"/>
  <c r="K37" i="10" s="1"/>
  <c r="N21" i="31"/>
  <c r="N20" i="31" s="1"/>
  <c r="Z20" i="31"/>
  <c r="K35" i="10" s="1"/>
  <c r="L20" i="31"/>
  <c r="P20" i="31"/>
  <c r="P30" i="31"/>
  <c r="P28" i="31" s="1"/>
  <c r="N29" i="31"/>
  <c r="N28" i="31" s="1"/>
  <c r="G28" i="31"/>
  <c r="J28" i="31"/>
  <c r="L29" i="31"/>
  <c r="L28" i="31" s="1"/>
  <c r="Z24" i="31"/>
  <c r="K36" i="10" s="1"/>
  <c r="P24" i="31"/>
  <c r="N26" i="31"/>
  <c r="H24" i="31"/>
  <c r="N25" i="31"/>
  <c r="G24" i="31"/>
  <c r="J24" i="31"/>
  <c r="L25" i="31"/>
  <c r="L24" i="31" s="1"/>
  <c r="N17" i="31"/>
  <c r="L17" i="31"/>
  <c r="P18" i="31"/>
  <c r="N18" i="31"/>
  <c r="P17" i="31"/>
  <c r="P16" i="31" s="1"/>
  <c r="L18" i="31"/>
  <c r="H16" i="31"/>
  <c r="I16" i="31"/>
  <c r="G16" i="31"/>
  <c r="E79" i="34" l="1"/>
  <c r="F77" i="34"/>
  <c r="L81" i="34"/>
  <c r="K83" i="34"/>
  <c r="L83" i="34" s="1"/>
  <c r="L9" i="34" s="1"/>
  <c r="L14" i="34" s="1"/>
  <c r="N16" i="31"/>
  <c r="AD28" i="31"/>
  <c r="AE28" i="31" s="1"/>
  <c r="AC28" i="31"/>
  <c r="AF28" i="31" s="1"/>
  <c r="N24" i="31"/>
  <c r="AD24" i="31" s="1"/>
  <c r="AE24" i="31" s="1"/>
  <c r="AC24" i="31"/>
  <c r="AD20" i="31"/>
  <c r="AE20" i="31" s="1"/>
  <c r="L16" i="31"/>
  <c r="AC16" i="31" s="1"/>
  <c r="AC20" i="31"/>
  <c r="AF20" i="31" s="1"/>
  <c r="J16" i="31"/>
  <c r="F79" i="34" l="1"/>
  <c r="E81" i="34"/>
  <c r="M37" i="10"/>
  <c r="M35" i="10"/>
  <c r="AF16" i="31"/>
  <c r="M34" i="10" s="1"/>
  <c r="AD16" i="31"/>
  <c r="AE16" i="31" s="1"/>
  <c r="AF24" i="31"/>
  <c r="F18" i="31"/>
  <c r="F17" i="31"/>
  <c r="F103" i="28"/>
  <c r="G103" i="28"/>
  <c r="H103" i="28"/>
  <c r="I103" i="28"/>
  <c r="J103" i="28"/>
  <c r="K103" i="28"/>
  <c r="L103" i="28"/>
  <c r="M103" i="28"/>
  <c r="N103" i="28"/>
  <c r="O103" i="28"/>
  <c r="P103" i="28"/>
  <c r="Q103" i="28"/>
  <c r="R103" i="28"/>
  <c r="S103" i="28"/>
  <c r="T103" i="28"/>
  <c r="U103" i="28"/>
  <c r="V103" i="28"/>
  <c r="W103" i="28"/>
  <c r="X103" i="28"/>
  <c r="Y103" i="28"/>
  <c r="E103" i="28"/>
  <c r="F102" i="28"/>
  <c r="G102" i="28"/>
  <c r="H102" i="28"/>
  <c r="I102" i="28"/>
  <c r="J102" i="28"/>
  <c r="K102" i="28"/>
  <c r="L102" i="28"/>
  <c r="M102" i="28"/>
  <c r="N102" i="28"/>
  <c r="O102" i="28"/>
  <c r="P102" i="28"/>
  <c r="Q102" i="28"/>
  <c r="R102" i="28"/>
  <c r="S102" i="28"/>
  <c r="T102" i="28"/>
  <c r="U102" i="28"/>
  <c r="V102" i="28"/>
  <c r="W102" i="28"/>
  <c r="X102" i="28"/>
  <c r="Y102" i="28"/>
  <c r="E102" i="28"/>
  <c r="F101" i="28"/>
  <c r="G101" i="28"/>
  <c r="H101" i="28"/>
  <c r="I101" i="28"/>
  <c r="J101" i="28"/>
  <c r="K101" i="28"/>
  <c r="L101" i="28"/>
  <c r="M101" i="28"/>
  <c r="N101" i="28"/>
  <c r="O101" i="28"/>
  <c r="P101" i="28"/>
  <c r="Q101" i="28"/>
  <c r="R101" i="28"/>
  <c r="S101" i="28"/>
  <c r="T101" i="28"/>
  <c r="U101" i="28"/>
  <c r="V101" i="28"/>
  <c r="W101" i="28"/>
  <c r="X101" i="28"/>
  <c r="Y101" i="28"/>
  <c r="E101" i="28"/>
  <c r="F99" i="28"/>
  <c r="G99" i="28"/>
  <c r="H99" i="28"/>
  <c r="I99" i="28"/>
  <c r="J99" i="28"/>
  <c r="K99" i="28"/>
  <c r="L99" i="28"/>
  <c r="M99" i="28"/>
  <c r="N99" i="28"/>
  <c r="O99" i="28"/>
  <c r="P99" i="28"/>
  <c r="Q99" i="28"/>
  <c r="R99" i="28"/>
  <c r="S99" i="28"/>
  <c r="T99" i="28"/>
  <c r="U99" i="28"/>
  <c r="V99" i="28"/>
  <c r="W99" i="28"/>
  <c r="X99" i="28"/>
  <c r="Y99" i="28"/>
  <c r="E99" i="28"/>
  <c r="F98" i="28"/>
  <c r="G98" i="28"/>
  <c r="H98" i="28"/>
  <c r="I98" i="28"/>
  <c r="J98" i="28"/>
  <c r="K98" i="28"/>
  <c r="L98" i="28"/>
  <c r="M98" i="28"/>
  <c r="N98" i="28"/>
  <c r="O98" i="28"/>
  <c r="P98" i="28"/>
  <c r="Q98" i="28"/>
  <c r="R98" i="28"/>
  <c r="S98" i="28"/>
  <c r="T98" i="28"/>
  <c r="U98" i="28"/>
  <c r="V98" i="28"/>
  <c r="W98" i="28"/>
  <c r="X98" i="28"/>
  <c r="Y98" i="28"/>
  <c r="E98" i="28"/>
  <c r="F97" i="28"/>
  <c r="G97" i="28"/>
  <c r="H97" i="28"/>
  <c r="I97" i="28"/>
  <c r="J97" i="28"/>
  <c r="K97" i="28"/>
  <c r="L97" i="28"/>
  <c r="M97" i="28"/>
  <c r="N97" i="28"/>
  <c r="O97" i="28"/>
  <c r="P97" i="28"/>
  <c r="Q97" i="28"/>
  <c r="R97" i="28"/>
  <c r="S97" i="28"/>
  <c r="T97" i="28"/>
  <c r="U97" i="28"/>
  <c r="V97" i="28"/>
  <c r="W97" i="28"/>
  <c r="X97" i="28"/>
  <c r="Y97" i="28"/>
  <c r="E97" i="28"/>
  <c r="F96" i="28"/>
  <c r="G96" i="28"/>
  <c r="H96" i="28"/>
  <c r="I96" i="28"/>
  <c r="J96" i="28"/>
  <c r="K96" i="28"/>
  <c r="L96" i="28"/>
  <c r="M96" i="28"/>
  <c r="N96" i="28"/>
  <c r="O96" i="28"/>
  <c r="P96" i="28"/>
  <c r="Q96" i="28"/>
  <c r="R96" i="28"/>
  <c r="S96" i="28"/>
  <c r="T96" i="28"/>
  <c r="U96" i="28"/>
  <c r="V96" i="28"/>
  <c r="W96" i="28"/>
  <c r="X96" i="28"/>
  <c r="Y96" i="28"/>
  <c r="E96" i="28"/>
  <c r="F95" i="28"/>
  <c r="G95" i="28"/>
  <c r="H95" i="28"/>
  <c r="I95" i="28"/>
  <c r="J95" i="28"/>
  <c r="K95" i="28"/>
  <c r="L95" i="28"/>
  <c r="M95" i="28"/>
  <c r="N95" i="28"/>
  <c r="O95" i="28"/>
  <c r="P95" i="28"/>
  <c r="Q95" i="28"/>
  <c r="R95" i="28"/>
  <c r="S95" i="28"/>
  <c r="T95" i="28"/>
  <c r="U95" i="28"/>
  <c r="V95" i="28"/>
  <c r="W95" i="28"/>
  <c r="X95" i="28"/>
  <c r="Y95" i="28"/>
  <c r="E95" i="28"/>
  <c r="F94" i="28"/>
  <c r="G94" i="28"/>
  <c r="H94" i="28"/>
  <c r="I94" i="28"/>
  <c r="J94" i="28"/>
  <c r="K94" i="28"/>
  <c r="L94" i="28"/>
  <c r="M94" i="28"/>
  <c r="N94" i="28"/>
  <c r="O94" i="28"/>
  <c r="P94" i="28"/>
  <c r="Q94" i="28"/>
  <c r="R94" i="28"/>
  <c r="S94" i="28"/>
  <c r="T94" i="28"/>
  <c r="U94" i="28"/>
  <c r="V94" i="28"/>
  <c r="W94" i="28"/>
  <c r="X94" i="28"/>
  <c r="Y94" i="28"/>
  <c r="E94" i="28"/>
  <c r="F60" i="28"/>
  <c r="G60" i="28"/>
  <c r="H60" i="28"/>
  <c r="I60" i="28"/>
  <c r="J60" i="28"/>
  <c r="K60" i="28"/>
  <c r="L60" i="28"/>
  <c r="M60" i="28"/>
  <c r="N60" i="28"/>
  <c r="O60" i="28"/>
  <c r="P60" i="28"/>
  <c r="Q60" i="28"/>
  <c r="R60" i="28"/>
  <c r="S60" i="28"/>
  <c r="T60" i="28"/>
  <c r="U60" i="28"/>
  <c r="V60" i="28"/>
  <c r="W60" i="28"/>
  <c r="X60" i="28"/>
  <c r="Y60" i="28"/>
  <c r="E60" i="28"/>
  <c r="F59" i="28"/>
  <c r="G59" i="28"/>
  <c r="H59" i="28"/>
  <c r="I59" i="28"/>
  <c r="J59" i="28"/>
  <c r="K59" i="28"/>
  <c r="L59" i="28"/>
  <c r="M59" i="28"/>
  <c r="N59" i="28"/>
  <c r="O59" i="28"/>
  <c r="P59" i="28"/>
  <c r="Q59" i="28"/>
  <c r="R59" i="28"/>
  <c r="S59" i="28"/>
  <c r="T59" i="28"/>
  <c r="U59" i="28"/>
  <c r="V59" i="28"/>
  <c r="W59" i="28"/>
  <c r="X59" i="28"/>
  <c r="Y59" i="28"/>
  <c r="E59" i="28"/>
  <c r="F58" i="28"/>
  <c r="G58" i="28"/>
  <c r="H58" i="28"/>
  <c r="I58" i="28"/>
  <c r="J58" i="28"/>
  <c r="K58" i="28"/>
  <c r="L58" i="28"/>
  <c r="M58" i="28"/>
  <c r="N58" i="28"/>
  <c r="O58" i="28"/>
  <c r="P58" i="28"/>
  <c r="Q58" i="28"/>
  <c r="R58" i="28"/>
  <c r="S58" i="28"/>
  <c r="T58" i="28"/>
  <c r="U58" i="28"/>
  <c r="V58" i="28"/>
  <c r="W58" i="28"/>
  <c r="X58" i="28"/>
  <c r="Y58" i="28"/>
  <c r="E58" i="28"/>
  <c r="F56" i="28"/>
  <c r="G56" i="28"/>
  <c r="H56" i="28"/>
  <c r="I56" i="28"/>
  <c r="J56" i="28"/>
  <c r="K56" i="28"/>
  <c r="L56" i="28"/>
  <c r="M56" i="28"/>
  <c r="N56" i="28"/>
  <c r="O56" i="28"/>
  <c r="P56" i="28"/>
  <c r="Q56" i="28"/>
  <c r="R56" i="28"/>
  <c r="S56" i="28"/>
  <c r="T56" i="28"/>
  <c r="U56" i="28"/>
  <c r="V56" i="28"/>
  <c r="W56" i="28"/>
  <c r="X56" i="28"/>
  <c r="Y56" i="28"/>
  <c r="E56" i="28"/>
  <c r="F55" i="28"/>
  <c r="G55" i="28"/>
  <c r="H55" i="28"/>
  <c r="I55" i="28"/>
  <c r="J55" i="28"/>
  <c r="K55" i="28"/>
  <c r="L55" i="28"/>
  <c r="M55" i="28"/>
  <c r="N55" i="28"/>
  <c r="O55" i="28"/>
  <c r="P55" i="28"/>
  <c r="Q55" i="28"/>
  <c r="R55" i="28"/>
  <c r="S55" i="28"/>
  <c r="T55" i="28"/>
  <c r="U55" i="28"/>
  <c r="V55" i="28"/>
  <c r="W55" i="28"/>
  <c r="X55" i="28"/>
  <c r="Y55" i="28"/>
  <c r="E55" i="28"/>
  <c r="F54" i="28"/>
  <c r="G54" i="28"/>
  <c r="H54" i="28"/>
  <c r="I54" i="28"/>
  <c r="J54" i="28"/>
  <c r="K54" i="28"/>
  <c r="L54" i="28"/>
  <c r="M54" i="28"/>
  <c r="N54" i="28"/>
  <c r="O54" i="28"/>
  <c r="P54" i="28"/>
  <c r="Q54" i="28"/>
  <c r="R54" i="28"/>
  <c r="S54" i="28"/>
  <c r="T54" i="28"/>
  <c r="U54" i="28"/>
  <c r="V54" i="28"/>
  <c r="W54" i="28"/>
  <c r="X54" i="28"/>
  <c r="Y54" i="28"/>
  <c r="E54" i="28"/>
  <c r="F53" i="28"/>
  <c r="G53" i="28"/>
  <c r="H53" i="28"/>
  <c r="I53" i="28"/>
  <c r="J53" i="28"/>
  <c r="K53" i="28"/>
  <c r="L53" i="28"/>
  <c r="M53" i="28"/>
  <c r="N53" i="28"/>
  <c r="O53" i="28"/>
  <c r="P53" i="28"/>
  <c r="Q53" i="28"/>
  <c r="R53" i="28"/>
  <c r="S53" i="28"/>
  <c r="T53" i="28"/>
  <c r="U53" i="28"/>
  <c r="V53" i="28"/>
  <c r="W53" i="28"/>
  <c r="X53" i="28"/>
  <c r="Y53" i="28"/>
  <c r="E53" i="28"/>
  <c r="F52" i="28"/>
  <c r="G52" i="28"/>
  <c r="H52" i="28"/>
  <c r="I52" i="28"/>
  <c r="J52" i="28"/>
  <c r="K52" i="28"/>
  <c r="L52" i="28"/>
  <c r="M52" i="28"/>
  <c r="N52" i="28"/>
  <c r="O52" i="28"/>
  <c r="P52" i="28"/>
  <c r="Q52" i="28"/>
  <c r="R52" i="28"/>
  <c r="S52" i="28"/>
  <c r="T52" i="28"/>
  <c r="U52" i="28"/>
  <c r="V52" i="28"/>
  <c r="W52" i="28"/>
  <c r="X52" i="28"/>
  <c r="Y52" i="28"/>
  <c r="E52" i="28"/>
  <c r="F51" i="28"/>
  <c r="G51" i="28"/>
  <c r="H51" i="28"/>
  <c r="I51" i="28"/>
  <c r="J51" i="28"/>
  <c r="K51" i="28"/>
  <c r="L51" i="28"/>
  <c r="M51" i="28"/>
  <c r="N51" i="28"/>
  <c r="O51" i="28"/>
  <c r="P51" i="28"/>
  <c r="Q51" i="28"/>
  <c r="R51" i="28"/>
  <c r="S51" i="28"/>
  <c r="T51" i="28"/>
  <c r="U51" i="28"/>
  <c r="V51" i="28"/>
  <c r="W51" i="28"/>
  <c r="X51" i="28"/>
  <c r="Y51" i="28"/>
  <c r="E51" i="28"/>
  <c r="F9" i="28"/>
  <c r="G9" i="28"/>
  <c r="H9" i="28"/>
  <c r="I9" i="28"/>
  <c r="J9" i="28"/>
  <c r="K9" i="28"/>
  <c r="L9" i="28"/>
  <c r="F17" i="28"/>
  <c r="G17" i="28"/>
  <c r="H17" i="28"/>
  <c r="I17" i="28"/>
  <c r="J17" i="28"/>
  <c r="K17" i="28"/>
  <c r="L17" i="28"/>
  <c r="E9" i="28"/>
  <c r="E17" i="28"/>
  <c r="V192" i="30"/>
  <c r="W192" i="30"/>
  <c r="X192" i="30"/>
  <c r="Y192" i="30"/>
  <c r="V193" i="30"/>
  <c r="W193" i="30"/>
  <c r="X193" i="30"/>
  <c r="Y193" i="30"/>
  <c r="V240" i="30"/>
  <c r="W240" i="30" s="1"/>
  <c r="X240" i="30" s="1"/>
  <c r="Y240" i="30" s="1"/>
  <c r="V241" i="30"/>
  <c r="W241" i="30"/>
  <c r="X241" i="30"/>
  <c r="Y241" i="30" s="1"/>
  <c r="V242" i="30"/>
  <c r="W242" i="30" s="1"/>
  <c r="X242" i="30" s="1"/>
  <c r="Y242" i="30" s="1"/>
  <c r="V243" i="30"/>
  <c r="W243" i="30"/>
  <c r="X243" i="30"/>
  <c r="Y243" i="30" s="1"/>
  <c r="V254" i="30"/>
  <c r="W254" i="30" s="1"/>
  <c r="V255" i="30"/>
  <c r="X255" i="30" s="1"/>
  <c r="W255" i="30"/>
  <c r="V256" i="30"/>
  <c r="W256" i="30" s="1"/>
  <c r="V257" i="30"/>
  <c r="W257" i="30" s="1"/>
  <c r="V258" i="30"/>
  <c r="W258" i="30"/>
  <c r="X258" i="30"/>
  <c r="Y258" i="30"/>
  <c r="Q212" i="30"/>
  <c r="R212" i="30"/>
  <c r="S212" i="30"/>
  <c r="T212" i="30"/>
  <c r="U212" i="30"/>
  <c r="R227" i="30"/>
  <c r="S227" i="30"/>
  <c r="T227" i="30"/>
  <c r="U227" i="30"/>
  <c r="R228" i="30"/>
  <c r="S228" i="30"/>
  <c r="T228" i="30"/>
  <c r="U228" i="30"/>
  <c r="R229" i="30"/>
  <c r="S229" i="30"/>
  <c r="T229" i="30"/>
  <c r="U229" i="30"/>
  <c r="R230" i="30"/>
  <c r="S230" i="30"/>
  <c r="T230" i="30"/>
  <c r="U230" i="30"/>
  <c r="V230" i="30"/>
  <c r="W230" i="30"/>
  <c r="X230" i="30"/>
  <c r="Y230" i="30"/>
  <c r="AA74" i="29"/>
  <c r="Z74" i="29"/>
  <c r="Y74" i="29"/>
  <c r="X74" i="29"/>
  <c r="W74" i="29"/>
  <c r="V74" i="29"/>
  <c r="U74" i="29"/>
  <c r="T74" i="29"/>
  <c r="S74" i="29"/>
  <c r="R74" i="29"/>
  <c r="Q74" i="29"/>
  <c r="P74" i="29"/>
  <c r="O74" i="29"/>
  <c r="N74" i="29"/>
  <c r="M74" i="29"/>
  <c r="L74" i="29"/>
  <c r="K74" i="29"/>
  <c r="J74" i="29"/>
  <c r="I74" i="29"/>
  <c r="H74" i="29"/>
  <c r="G74" i="29"/>
  <c r="AA72" i="29"/>
  <c r="Z72" i="29"/>
  <c r="Y72" i="29"/>
  <c r="X72" i="29"/>
  <c r="W72" i="29"/>
  <c r="V72" i="29"/>
  <c r="U72" i="29"/>
  <c r="T72" i="29"/>
  <c r="S72" i="29"/>
  <c r="R72" i="29"/>
  <c r="Q72" i="29"/>
  <c r="P72" i="29"/>
  <c r="O72" i="29"/>
  <c r="N72" i="29"/>
  <c r="M72" i="29"/>
  <c r="L72" i="29"/>
  <c r="K72" i="29"/>
  <c r="J72" i="29"/>
  <c r="I72" i="29"/>
  <c r="H72" i="29"/>
  <c r="G72" i="29"/>
  <c r="AA70" i="29"/>
  <c r="Z70" i="29"/>
  <c r="Y70" i="29"/>
  <c r="X70" i="29"/>
  <c r="W70" i="29"/>
  <c r="V70" i="29"/>
  <c r="U70" i="29"/>
  <c r="T70" i="29"/>
  <c r="S70" i="29"/>
  <c r="R70" i="29"/>
  <c r="Q70" i="29"/>
  <c r="P70" i="29"/>
  <c r="O70" i="29"/>
  <c r="N70" i="29"/>
  <c r="M70" i="29"/>
  <c r="L70" i="29"/>
  <c r="K70" i="29"/>
  <c r="J70" i="29"/>
  <c r="I70" i="29"/>
  <c r="H70" i="29"/>
  <c r="G70" i="29"/>
  <c r="AA68" i="29"/>
  <c r="Z68" i="29"/>
  <c r="Y68" i="29"/>
  <c r="X68" i="29"/>
  <c r="W68" i="29"/>
  <c r="V68" i="29"/>
  <c r="U68" i="29"/>
  <c r="T68" i="29"/>
  <c r="S68" i="29"/>
  <c r="R68" i="29"/>
  <c r="Q68" i="29"/>
  <c r="P68" i="29"/>
  <c r="O68" i="29"/>
  <c r="N68" i="29"/>
  <c r="M68" i="29"/>
  <c r="L68" i="29"/>
  <c r="K68" i="29"/>
  <c r="J68" i="29"/>
  <c r="I68" i="29"/>
  <c r="H68" i="29"/>
  <c r="G68" i="29"/>
  <c r="AA67" i="29"/>
  <c r="Z67" i="29"/>
  <c r="Y67" i="29"/>
  <c r="X67" i="29"/>
  <c r="W67" i="29"/>
  <c r="V67" i="29"/>
  <c r="U67" i="29"/>
  <c r="T67" i="29"/>
  <c r="S67" i="29"/>
  <c r="R67" i="29"/>
  <c r="Q67" i="29"/>
  <c r="P67" i="29"/>
  <c r="O67" i="29"/>
  <c r="N67" i="29"/>
  <c r="M67" i="29"/>
  <c r="L67" i="29"/>
  <c r="K67" i="29"/>
  <c r="J67" i="29"/>
  <c r="I67" i="29"/>
  <c r="H67" i="29"/>
  <c r="G67" i="29"/>
  <c r="AA66" i="29"/>
  <c r="Z66" i="29"/>
  <c r="Y66" i="29"/>
  <c r="X66" i="29"/>
  <c r="W66" i="29"/>
  <c r="V66" i="29"/>
  <c r="U66" i="29"/>
  <c r="T66" i="29"/>
  <c r="S66" i="29"/>
  <c r="R66" i="29"/>
  <c r="Q66" i="29"/>
  <c r="P66" i="29"/>
  <c r="O66" i="29"/>
  <c r="N66" i="29"/>
  <c r="M66" i="29"/>
  <c r="L66" i="29"/>
  <c r="K66" i="29"/>
  <c r="J66" i="29"/>
  <c r="I66" i="29"/>
  <c r="H66" i="29"/>
  <c r="G66" i="29"/>
  <c r="AA65" i="29"/>
  <c r="Z65" i="29"/>
  <c r="Y65" i="29"/>
  <c r="X65" i="29"/>
  <c r="W65" i="29"/>
  <c r="V65" i="29"/>
  <c r="U65" i="29"/>
  <c r="T65" i="29"/>
  <c r="S65" i="29"/>
  <c r="R65" i="29"/>
  <c r="Q65" i="29"/>
  <c r="P65" i="29"/>
  <c r="O65" i="29"/>
  <c r="N65" i="29"/>
  <c r="M65" i="29"/>
  <c r="L65" i="29"/>
  <c r="K65" i="29"/>
  <c r="J65" i="29"/>
  <c r="I65" i="29"/>
  <c r="H65" i="29"/>
  <c r="G65" i="29"/>
  <c r="AA63" i="29"/>
  <c r="Z63" i="29"/>
  <c r="Y63" i="29"/>
  <c r="X63" i="29"/>
  <c r="W63" i="29"/>
  <c r="V63" i="29"/>
  <c r="U63" i="29"/>
  <c r="T63" i="29"/>
  <c r="S63" i="29"/>
  <c r="R63" i="29"/>
  <c r="Q63" i="29"/>
  <c r="P63" i="29"/>
  <c r="O63" i="29"/>
  <c r="N63" i="29"/>
  <c r="M63" i="29"/>
  <c r="L63" i="29"/>
  <c r="K63" i="29"/>
  <c r="J63" i="29"/>
  <c r="I63" i="29"/>
  <c r="H63" i="29"/>
  <c r="G63" i="29"/>
  <c r="AA62" i="29"/>
  <c r="Z62" i="29"/>
  <c r="Y62" i="29"/>
  <c r="X62" i="29"/>
  <c r="W62" i="29"/>
  <c r="V62" i="29"/>
  <c r="U62" i="29"/>
  <c r="T62" i="29"/>
  <c r="S62" i="29"/>
  <c r="R62" i="29"/>
  <c r="Q62" i="29"/>
  <c r="P62" i="29"/>
  <c r="O62" i="29"/>
  <c r="N62" i="29"/>
  <c r="M62" i="29"/>
  <c r="L62" i="29"/>
  <c r="K62" i="29"/>
  <c r="J62" i="29"/>
  <c r="I62" i="29"/>
  <c r="H62" i="29"/>
  <c r="G62" i="29"/>
  <c r="AA61" i="29"/>
  <c r="Z61" i="29"/>
  <c r="Y61" i="29"/>
  <c r="X61" i="29"/>
  <c r="W61" i="29"/>
  <c r="V61" i="29"/>
  <c r="U61" i="29"/>
  <c r="T61" i="29"/>
  <c r="S61" i="29"/>
  <c r="R61" i="29"/>
  <c r="Q61" i="29"/>
  <c r="P61" i="29"/>
  <c r="O61" i="29"/>
  <c r="N61" i="29"/>
  <c r="M61" i="29"/>
  <c r="L61" i="29"/>
  <c r="K61" i="29"/>
  <c r="J61" i="29"/>
  <c r="I61" i="29"/>
  <c r="H61" i="29"/>
  <c r="G61" i="29"/>
  <c r="AA60" i="29"/>
  <c r="Z60" i="29"/>
  <c r="Y60" i="29"/>
  <c r="X60" i="29"/>
  <c r="W60" i="29"/>
  <c r="V60" i="29"/>
  <c r="U60" i="29"/>
  <c r="T60" i="29"/>
  <c r="S60" i="29"/>
  <c r="R60" i="29"/>
  <c r="Q60" i="29"/>
  <c r="P60" i="29"/>
  <c r="O60" i="29"/>
  <c r="N60" i="29"/>
  <c r="M60" i="29"/>
  <c r="L60" i="29"/>
  <c r="K60" i="29"/>
  <c r="J60" i="29"/>
  <c r="I60" i="29"/>
  <c r="H60" i="29"/>
  <c r="G60" i="29"/>
  <c r="AA58" i="29"/>
  <c r="Z58" i="29"/>
  <c r="Y58" i="29"/>
  <c r="X58" i="29"/>
  <c r="W58" i="29"/>
  <c r="V58" i="29"/>
  <c r="U58" i="29"/>
  <c r="T58" i="29"/>
  <c r="S58" i="29"/>
  <c r="R58" i="29"/>
  <c r="Q58" i="29"/>
  <c r="P58" i="29"/>
  <c r="O58" i="29"/>
  <c r="N58" i="29"/>
  <c r="M58" i="29"/>
  <c r="L58" i="29"/>
  <c r="K58" i="29"/>
  <c r="J58" i="29"/>
  <c r="I58" i="29"/>
  <c r="H58" i="29"/>
  <c r="G58" i="29"/>
  <c r="AA57" i="29"/>
  <c r="Z57" i="29"/>
  <c r="Y57" i="29"/>
  <c r="X57" i="29"/>
  <c r="W57" i="29"/>
  <c r="V57" i="29"/>
  <c r="U57" i="29"/>
  <c r="T57" i="29"/>
  <c r="S57" i="29"/>
  <c r="R57" i="29"/>
  <c r="Q57" i="29"/>
  <c r="P57" i="29"/>
  <c r="O57" i="29"/>
  <c r="N57" i="29"/>
  <c r="M57" i="29"/>
  <c r="L57" i="29"/>
  <c r="K57" i="29"/>
  <c r="J57" i="29"/>
  <c r="I57" i="29"/>
  <c r="H57" i="29"/>
  <c r="G57" i="29"/>
  <c r="AA56" i="29"/>
  <c r="Z56" i="29"/>
  <c r="Y56" i="29"/>
  <c r="X56" i="29"/>
  <c r="W56" i="29"/>
  <c r="V56" i="29"/>
  <c r="U56" i="29"/>
  <c r="T56" i="29"/>
  <c r="S56" i="29"/>
  <c r="R56" i="29"/>
  <c r="Q56" i="29"/>
  <c r="P56" i="29"/>
  <c r="O56" i="29"/>
  <c r="N56" i="29"/>
  <c r="M56" i="29"/>
  <c r="L56" i="29"/>
  <c r="K56" i="29"/>
  <c r="J56" i="29"/>
  <c r="I56" i="29"/>
  <c r="H56" i="29"/>
  <c r="G56" i="29"/>
  <c r="F81" i="34" l="1"/>
  <c r="E83" i="34"/>
  <c r="F83" i="34" s="1"/>
  <c r="F9" i="34" s="1"/>
  <c r="F14" i="34" s="1"/>
  <c r="M36" i="10"/>
  <c r="F16" i="31"/>
  <c r="Y256" i="30"/>
  <c r="X256" i="30"/>
  <c r="X257" i="30"/>
  <c r="Y257" i="30"/>
  <c r="Y254" i="30"/>
  <c r="X254" i="30"/>
  <c r="Y255" i="30"/>
  <c r="Q254" i="30" l="1"/>
  <c r="R254" i="30" s="1"/>
  <c r="Q255" i="30"/>
  <c r="R255" i="30"/>
  <c r="S255" i="30" s="1"/>
  <c r="Q256" i="30"/>
  <c r="S256" i="30" s="1"/>
  <c r="R256" i="30"/>
  <c r="Q257" i="30"/>
  <c r="R257" i="30" s="1"/>
  <c r="Q241" i="30"/>
  <c r="R241" i="30" s="1"/>
  <c r="S241" i="30" s="1"/>
  <c r="T241" i="30" s="1"/>
  <c r="U241" i="30" s="1"/>
  <c r="Q242" i="30"/>
  <c r="R242" i="30"/>
  <c r="S242" i="30" s="1"/>
  <c r="T242" i="30" s="1"/>
  <c r="U242" i="30" s="1"/>
  <c r="Q243" i="30"/>
  <c r="R243" i="30"/>
  <c r="S243" i="30" s="1"/>
  <c r="T243" i="30" s="1"/>
  <c r="U243" i="30" s="1"/>
  <c r="Q240" i="30"/>
  <c r="R240" i="30" s="1"/>
  <c r="S240" i="30" s="1"/>
  <c r="T240" i="30" s="1"/>
  <c r="U240" i="30" s="1"/>
  <c r="P347" i="30"/>
  <c r="O347" i="30"/>
  <c r="O344" i="30" s="1"/>
  <c r="S346" i="30"/>
  <c r="R346" i="30"/>
  <c r="Q346" i="30"/>
  <c r="P346" i="30"/>
  <c r="O346" i="30"/>
  <c r="N344" i="30"/>
  <c r="M344" i="30"/>
  <c r="L344" i="30"/>
  <c r="K344" i="30"/>
  <c r="J344" i="30"/>
  <c r="J39" i="30" s="1"/>
  <c r="I344" i="30"/>
  <c r="H344" i="30"/>
  <c r="G344" i="30"/>
  <c r="O340" i="30"/>
  <c r="P340" i="30" s="1"/>
  <c r="Q340" i="30" s="1"/>
  <c r="R340" i="30" s="1"/>
  <c r="S340" i="30" s="1"/>
  <c r="T340" i="30" s="1"/>
  <c r="U340" i="30" s="1"/>
  <c r="V340" i="30" s="1"/>
  <c r="W340" i="30" s="1"/>
  <c r="X340" i="30" s="1"/>
  <c r="Y340" i="30" s="1"/>
  <c r="Z340" i="30" s="1"/>
  <c r="AA340" i="30" s="1"/>
  <c r="R338" i="30"/>
  <c r="S338" i="30" s="1"/>
  <c r="T338" i="30" s="1"/>
  <c r="U338" i="30" s="1"/>
  <c r="V338" i="30" s="1"/>
  <c r="W338" i="30" s="1"/>
  <c r="X338" i="30" s="1"/>
  <c r="Y338" i="30" s="1"/>
  <c r="Z338" i="30" s="1"/>
  <c r="AA338" i="30" s="1"/>
  <c r="Q338" i="30"/>
  <c r="P338" i="30"/>
  <c r="O338" i="30"/>
  <c r="O337" i="30"/>
  <c r="O335" i="30" s="1"/>
  <c r="N335" i="30"/>
  <c r="M335" i="30"/>
  <c r="L335" i="30"/>
  <c r="K335" i="30"/>
  <c r="J335" i="30"/>
  <c r="I335" i="30"/>
  <c r="H335" i="30"/>
  <c r="G335" i="30"/>
  <c r="S331" i="30"/>
  <c r="T331" i="30" s="1"/>
  <c r="U331" i="30" s="1"/>
  <c r="V331" i="30" s="1"/>
  <c r="W331" i="30" s="1"/>
  <c r="X331" i="30" s="1"/>
  <c r="Y331" i="30" s="1"/>
  <c r="Z331" i="30" s="1"/>
  <c r="AA331" i="30" s="1"/>
  <c r="Q331" i="30"/>
  <c r="R331" i="30" s="1"/>
  <c r="P331" i="30"/>
  <c r="O331" i="30"/>
  <c r="P329" i="30"/>
  <c r="Q329" i="30" s="1"/>
  <c r="R329" i="30" s="1"/>
  <c r="S329" i="30" s="1"/>
  <c r="T329" i="30" s="1"/>
  <c r="U329" i="30" s="1"/>
  <c r="V329" i="30" s="1"/>
  <c r="W329" i="30" s="1"/>
  <c r="X329" i="30" s="1"/>
  <c r="Y329" i="30" s="1"/>
  <c r="Z329" i="30" s="1"/>
  <c r="AA329" i="30" s="1"/>
  <c r="O329" i="30"/>
  <c r="S327" i="30"/>
  <c r="T327" i="30" s="1"/>
  <c r="U327" i="30" s="1"/>
  <c r="V327" i="30" s="1"/>
  <c r="W327" i="30" s="1"/>
  <c r="X327" i="30" s="1"/>
  <c r="Y327" i="30" s="1"/>
  <c r="Z327" i="30" s="1"/>
  <c r="AA327" i="30" s="1"/>
  <c r="R327" i="30"/>
  <c r="Q327" i="30"/>
  <c r="P327" i="30"/>
  <c r="O327" i="30"/>
  <c r="P325" i="30"/>
  <c r="Q325" i="30" s="1"/>
  <c r="R325" i="30" s="1"/>
  <c r="S325" i="30" s="1"/>
  <c r="T325" i="30" s="1"/>
  <c r="U325" i="30" s="1"/>
  <c r="V325" i="30" s="1"/>
  <c r="W325" i="30" s="1"/>
  <c r="X325" i="30" s="1"/>
  <c r="Y325" i="30" s="1"/>
  <c r="Z325" i="30" s="1"/>
  <c r="AA325" i="30" s="1"/>
  <c r="O325" i="30"/>
  <c r="O324" i="30"/>
  <c r="P324" i="30" s="1"/>
  <c r="Q324" i="30" s="1"/>
  <c r="R324" i="30" s="1"/>
  <c r="S324" i="30" s="1"/>
  <c r="T324" i="30" s="1"/>
  <c r="U324" i="30" s="1"/>
  <c r="V324" i="30" s="1"/>
  <c r="W324" i="30" s="1"/>
  <c r="X324" i="30" s="1"/>
  <c r="Y324" i="30" s="1"/>
  <c r="Z324" i="30" s="1"/>
  <c r="AA324" i="30" s="1"/>
  <c r="R322" i="30"/>
  <c r="S322" i="30" s="1"/>
  <c r="T322" i="30" s="1"/>
  <c r="U322" i="30" s="1"/>
  <c r="V322" i="30" s="1"/>
  <c r="W322" i="30" s="1"/>
  <c r="X322" i="30" s="1"/>
  <c r="Y322" i="30" s="1"/>
  <c r="Z322" i="30" s="1"/>
  <c r="AA322" i="30" s="1"/>
  <c r="Q322" i="30"/>
  <c r="P322" i="30"/>
  <c r="O322" i="30"/>
  <c r="O320" i="30"/>
  <c r="P320" i="30" s="1"/>
  <c r="Q320" i="30" s="1"/>
  <c r="R320" i="30" s="1"/>
  <c r="S320" i="30" s="1"/>
  <c r="T320" i="30" s="1"/>
  <c r="U320" i="30" s="1"/>
  <c r="V320" i="30" s="1"/>
  <c r="W320" i="30" s="1"/>
  <c r="X320" i="30" s="1"/>
  <c r="Y320" i="30" s="1"/>
  <c r="Z320" i="30" s="1"/>
  <c r="AA320" i="30" s="1"/>
  <c r="T319" i="30"/>
  <c r="U319" i="30" s="1"/>
  <c r="V319" i="30" s="1"/>
  <c r="W319" i="30" s="1"/>
  <c r="X319" i="30" s="1"/>
  <c r="Y319" i="30" s="1"/>
  <c r="Z319" i="30" s="1"/>
  <c r="AA319" i="30" s="1"/>
  <c r="S319" i="30"/>
  <c r="R319" i="30"/>
  <c r="Q319" i="30"/>
  <c r="P319" i="30"/>
  <c r="O319" i="30"/>
  <c r="Q317" i="30"/>
  <c r="R317" i="30" s="1"/>
  <c r="S317" i="30" s="1"/>
  <c r="T317" i="30" s="1"/>
  <c r="U317" i="30" s="1"/>
  <c r="V317" i="30" s="1"/>
  <c r="W317" i="30" s="1"/>
  <c r="X317" i="30" s="1"/>
  <c r="Y317" i="30" s="1"/>
  <c r="Z317" i="30" s="1"/>
  <c r="AA317" i="30" s="1"/>
  <c r="P317" i="30"/>
  <c r="O317" i="30"/>
  <c r="P315" i="30"/>
  <c r="Q315" i="30" s="1"/>
  <c r="R315" i="30" s="1"/>
  <c r="S315" i="30" s="1"/>
  <c r="T315" i="30" s="1"/>
  <c r="U315" i="30" s="1"/>
  <c r="V315" i="30" s="1"/>
  <c r="W315" i="30" s="1"/>
  <c r="X315" i="30" s="1"/>
  <c r="Y315" i="30" s="1"/>
  <c r="Z315" i="30" s="1"/>
  <c r="AA315" i="30" s="1"/>
  <c r="O315" i="30"/>
  <c r="U314" i="30"/>
  <c r="V314" i="30" s="1"/>
  <c r="W314" i="30" s="1"/>
  <c r="X314" i="30" s="1"/>
  <c r="Y314" i="30" s="1"/>
  <c r="Z314" i="30" s="1"/>
  <c r="AA314" i="30" s="1"/>
  <c r="S314" i="30"/>
  <c r="T314" i="30" s="1"/>
  <c r="R314" i="30"/>
  <c r="Q314" i="30"/>
  <c r="P314" i="30"/>
  <c r="O314" i="30"/>
  <c r="P312" i="30"/>
  <c r="Q312" i="30" s="1"/>
  <c r="R312" i="30" s="1"/>
  <c r="S312" i="30" s="1"/>
  <c r="T312" i="30" s="1"/>
  <c r="U312" i="30" s="1"/>
  <c r="V312" i="30" s="1"/>
  <c r="W312" i="30" s="1"/>
  <c r="X312" i="30" s="1"/>
  <c r="Y312" i="30" s="1"/>
  <c r="Z312" i="30" s="1"/>
  <c r="AA312" i="30" s="1"/>
  <c r="O312" i="30"/>
  <c r="O310" i="30"/>
  <c r="P310" i="30" s="1"/>
  <c r="Q310" i="30" s="1"/>
  <c r="R310" i="30" s="1"/>
  <c r="S310" i="30" s="1"/>
  <c r="T310" i="30" s="1"/>
  <c r="U310" i="30" s="1"/>
  <c r="V310" i="30" s="1"/>
  <c r="W310" i="30" s="1"/>
  <c r="X310" i="30" s="1"/>
  <c r="Y310" i="30" s="1"/>
  <c r="Z310" i="30" s="1"/>
  <c r="AA310" i="30" s="1"/>
  <c r="R308" i="30"/>
  <c r="S308" i="30" s="1"/>
  <c r="T308" i="30" s="1"/>
  <c r="U308" i="30" s="1"/>
  <c r="V308" i="30" s="1"/>
  <c r="W308" i="30" s="1"/>
  <c r="X308" i="30" s="1"/>
  <c r="Y308" i="30" s="1"/>
  <c r="Z308" i="30" s="1"/>
  <c r="AA308" i="30" s="1"/>
  <c r="Q308" i="30"/>
  <c r="P308" i="30"/>
  <c r="O308" i="30"/>
  <c r="O307" i="30"/>
  <c r="P307" i="30" s="1"/>
  <c r="Q307" i="30" s="1"/>
  <c r="R307" i="30" s="1"/>
  <c r="S307" i="30" s="1"/>
  <c r="T307" i="30" s="1"/>
  <c r="U307" i="30" s="1"/>
  <c r="V307" i="30" s="1"/>
  <c r="W307" i="30" s="1"/>
  <c r="X307" i="30" s="1"/>
  <c r="Y307" i="30" s="1"/>
  <c r="Z307" i="30" s="1"/>
  <c r="AA307" i="30" s="1"/>
  <c r="O305" i="30"/>
  <c r="P305" i="30" s="1"/>
  <c r="Q305" i="30" s="1"/>
  <c r="R305" i="30" s="1"/>
  <c r="S305" i="30" s="1"/>
  <c r="T305" i="30" s="1"/>
  <c r="U305" i="30" s="1"/>
  <c r="V305" i="30" s="1"/>
  <c r="W305" i="30" s="1"/>
  <c r="X305" i="30" s="1"/>
  <c r="Y305" i="30" s="1"/>
  <c r="Z305" i="30" s="1"/>
  <c r="AA305" i="30" s="1"/>
  <c r="Q303" i="30"/>
  <c r="R303" i="30" s="1"/>
  <c r="S303" i="30" s="1"/>
  <c r="T303" i="30" s="1"/>
  <c r="U303" i="30" s="1"/>
  <c r="V303" i="30" s="1"/>
  <c r="W303" i="30" s="1"/>
  <c r="X303" i="30" s="1"/>
  <c r="Y303" i="30" s="1"/>
  <c r="Z303" i="30" s="1"/>
  <c r="AA303" i="30" s="1"/>
  <c r="P303" i="30"/>
  <c r="O303" i="30"/>
  <c r="X301" i="30"/>
  <c r="Y301" i="30" s="1"/>
  <c r="Z301" i="30" s="1"/>
  <c r="AA301" i="30" s="1"/>
  <c r="P301" i="30"/>
  <c r="Q301" i="30" s="1"/>
  <c r="R301" i="30" s="1"/>
  <c r="S301" i="30" s="1"/>
  <c r="T301" i="30" s="1"/>
  <c r="U301" i="30" s="1"/>
  <c r="V301" i="30" s="1"/>
  <c r="W301" i="30" s="1"/>
  <c r="O301" i="30"/>
  <c r="U299" i="30"/>
  <c r="V299" i="30" s="1"/>
  <c r="W299" i="30" s="1"/>
  <c r="X299" i="30" s="1"/>
  <c r="Y299" i="30" s="1"/>
  <c r="Z299" i="30" s="1"/>
  <c r="AA299" i="30" s="1"/>
  <c r="S299" i="30"/>
  <c r="T299" i="30" s="1"/>
  <c r="R299" i="30"/>
  <c r="Q299" i="30"/>
  <c r="P299" i="30"/>
  <c r="O299" i="30"/>
  <c r="P298" i="30"/>
  <c r="Q298" i="30" s="1"/>
  <c r="R298" i="30" s="1"/>
  <c r="S298" i="30" s="1"/>
  <c r="T298" i="30" s="1"/>
  <c r="U298" i="30" s="1"/>
  <c r="V298" i="30" s="1"/>
  <c r="W298" i="30" s="1"/>
  <c r="X298" i="30" s="1"/>
  <c r="Y298" i="30" s="1"/>
  <c r="Z298" i="30" s="1"/>
  <c r="AA298" i="30" s="1"/>
  <c r="O298" i="30"/>
  <c r="W296" i="30"/>
  <c r="X296" i="30" s="1"/>
  <c r="Y296" i="30" s="1"/>
  <c r="Z296" i="30" s="1"/>
  <c r="AA296" i="30" s="1"/>
  <c r="O296" i="30"/>
  <c r="P296" i="30" s="1"/>
  <c r="Q296" i="30" s="1"/>
  <c r="R296" i="30" s="1"/>
  <c r="S296" i="30" s="1"/>
  <c r="T296" i="30" s="1"/>
  <c r="U296" i="30" s="1"/>
  <c r="V296" i="30" s="1"/>
  <c r="R295" i="30"/>
  <c r="S295" i="30" s="1"/>
  <c r="T295" i="30" s="1"/>
  <c r="U295" i="30" s="1"/>
  <c r="V295" i="30" s="1"/>
  <c r="W295" i="30" s="1"/>
  <c r="X295" i="30" s="1"/>
  <c r="Y295" i="30" s="1"/>
  <c r="Z295" i="30" s="1"/>
  <c r="AA295" i="30" s="1"/>
  <c r="Q295" i="30"/>
  <c r="P295" i="30"/>
  <c r="O295" i="30"/>
  <c r="Q293" i="30"/>
  <c r="R293" i="30" s="1"/>
  <c r="S293" i="30" s="1"/>
  <c r="T293" i="30" s="1"/>
  <c r="U293" i="30" s="1"/>
  <c r="V293" i="30" s="1"/>
  <c r="W293" i="30" s="1"/>
  <c r="X293" i="30" s="1"/>
  <c r="Y293" i="30" s="1"/>
  <c r="Z293" i="30" s="1"/>
  <c r="AA293" i="30" s="1"/>
  <c r="O293" i="30"/>
  <c r="P293" i="30" s="1"/>
  <c r="O292" i="30"/>
  <c r="P292" i="30" s="1"/>
  <c r="Q292" i="30" s="1"/>
  <c r="R292" i="30" s="1"/>
  <c r="S292" i="30" s="1"/>
  <c r="T292" i="30" s="1"/>
  <c r="U292" i="30" s="1"/>
  <c r="V292" i="30" s="1"/>
  <c r="W292" i="30" s="1"/>
  <c r="X292" i="30" s="1"/>
  <c r="Y292" i="30" s="1"/>
  <c r="Z292" i="30" s="1"/>
  <c r="AA292" i="30" s="1"/>
  <c r="Q291" i="30"/>
  <c r="R291" i="30" s="1"/>
  <c r="S291" i="30" s="1"/>
  <c r="T291" i="30" s="1"/>
  <c r="U291" i="30" s="1"/>
  <c r="V291" i="30" s="1"/>
  <c r="W291" i="30" s="1"/>
  <c r="X291" i="30" s="1"/>
  <c r="Y291" i="30" s="1"/>
  <c r="Z291" i="30" s="1"/>
  <c r="AA291" i="30" s="1"/>
  <c r="P291" i="30"/>
  <c r="O291" i="30"/>
  <c r="P290" i="30"/>
  <c r="Q290" i="30" s="1"/>
  <c r="R290" i="30" s="1"/>
  <c r="S290" i="30" s="1"/>
  <c r="T290" i="30" s="1"/>
  <c r="U290" i="30" s="1"/>
  <c r="V290" i="30" s="1"/>
  <c r="W290" i="30" s="1"/>
  <c r="X290" i="30" s="1"/>
  <c r="Y290" i="30" s="1"/>
  <c r="Z290" i="30" s="1"/>
  <c r="AA290" i="30" s="1"/>
  <c r="O290" i="30"/>
  <c r="O289" i="30"/>
  <c r="P289" i="30" s="1"/>
  <c r="Q289" i="30" s="1"/>
  <c r="R289" i="30" s="1"/>
  <c r="S289" i="30" s="1"/>
  <c r="T289" i="30" s="1"/>
  <c r="U289" i="30" s="1"/>
  <c r="V289" i="30" s="1"/>
  <c r="W289" i="30" s="1"/>
  <c r="X289" i="30" s="1"/>
  <c r="Y289" i="30" s="1"/>
  <c r="Z289" i="30" s="1"/>
  <c r="AA289" i="30" s="1"/>
  <c r="P287" i="30"/>
  <c r="Q287" i="30" s="1"/>
  <c r="R287" i="30" s="1"/>
  <c r="S287" i="30" s="1"/>
  <c r="T287" i="30" s="1"/>
  <c r="U287" i="30" s="1"/>
  <c r="V287" i="30" s="1"/>
  <c r="W287" i="30" s="1"/>
  <c r="X287" i="30" s="1"/>
  <c r="Y287" i="30" s="1"/>
  <c r="Z287" i="30" s="1"/>
  <c r="AA287" i="30" s="1"/>
  <c r="O287" i="30"/>
  <c r="O285" i="30"/>
  <c r="P285" i="30" s="1"/>
  <c r="Q285" i="30" s="1"/>
  <c r="R285" i="30" s="1"/>
  <c r="S285" i="30" s="1"/>
  <c r="T285" i="30" s="1"/>
  <c r="U285" i="30" s="1"/>
  <c r="V285" i="30" s="1"/>
  <c r="W285" i="30" s="1"/>
  <c r="X285" i="30" s="1"/>
  <c r="Y285" i="30" s="1"/>
  <c r="Z285" i="30" s="1"/>
  <c r="AA285" i="30" s="1"/>
  <c r="R284" i="30"/>
  <c r="S284" i="30" s="1"/>
  <c r="T284" i="30" s="1"/>
  <c r="U284" i="30" s="1"/>
  <c r="V284" i="30" s="1"/>
  <c r="W284" i="30" s="1"/>
  <c r="X284" i="30" s="1"/>
  <c r="Y284" i="30" s="1"/>
  <c r="Z284" i="30" s="1"/>
  <c r="AA284" i="30" s="1"/>
  <c r="Q284" i="30"/>
  <c r="P284" i="30"/>
  <c r="O284" i="30"/>
  <c r="O282" i="30"/>
  <c r="R281" i="30"/>
  <c r="S281" i="30" s="1"/>
  <c r="T281" i="30" s="1"/>
  <c r="U281" i="30" s="1"/>
  <c r="V281" i="30" s="1"/>
  <c r="W281" i="30" s="1"/>
  <c r="X281" i="30" s="1"/>
  <c r="Y281" i="30" s="1"/>
  <c r="Z281" i="30" s="1"/>
  <c r="AA281" i="30" s="1"/>
  <c r="P281" i="30"/>
  <c r="Q281" i="30" s="1"/>
  <c r="O281" i="30"/>
  <c r="W280" i="30"/>
  <c r="X280" i="30" s="1"/>
  <c r="Y280" i="30" s="1"/>
  <c r="Z280" i="30" s="1"/>
  <c r="AA280" i="30" s="1"/>
  <c r="O280" i="30"/>
  <c r="P280" i="30" s="1"/>
  <c r="Q280" i="30" s="1"/>
  <c r="R280" i="30" s="1"/>
  <c r="S280" i="30" s="1"/>
  <c r="T280" i="30" s="1"/>
  <c r="U280" i="30" s="1"/>
  <c r="V280" i="30" s="1"/>
  <c r="T278" i="30"/>
  <c r="U278" i="30" s="1"/>
  <c r="V278" i="30" s="1"/>
  <c r="W278" i="30" s="1"/>
  <c r="X278" i="30" s="1"/>
  <c r="Y278" i="30" s="1"/>
  <c r="Z278" i="30" s="1"/>
  <c r="AA278" i="30" s="1"/>
  <c r="R278" i="30"/>
  <c r="S278" i="30" s="1"/>
  <c r="Q278" i="30"/>
  <c r="P278" i="30"/>
  <c r="O278" i="30"/>
  <c r="Q277" i="30"/>
  <c r="R277" i="30" s="1"/>
  <c r="S277" i="30" s="1"/>
  <c r="T277" i="30" s="1"/>
  <c r="U277" i="30" s="1"/>
  <c r="V277" i="30" s="1"/>
  <c r="W277" i="30" s="1"/>
  <c r="X277" i="30" s="1"/>
  <c r="Y277" i="30" s="1"/>
  <c r="Z277" i="30" s="1"/>
  <c r="AA277" i="30" s="1"/>
  <c r="O277" i="30"/>
  <c r="P277" i="30" s="1"/>
  <c r="V275" i="30"/>
  <c r="W275" i="30" s="1"/>
  <c r="X275" i="30" s="1"/>
  <c r="Y275" i="30" s="1"/>
  <c r="Z275" i="30" s="1"/>
  <c r="AA275" i="30" s="1"/>
  <c r="O275" i="30"/>
  <c r="P275" i="30" s="1"/>
  <c r="Q275" i="30" s="1"/>
  <c r="R275" i="30" s="1"/>
  <c r="S275" i="30" s="1"/>
  <c r="T275" i="30" s="1"/>
  <c r="U275" i="30" s="1"/>
  <c r="S273" i="30"/>
  <c r="T273" i="30" s="1"/>
  <c r="U273" i="30" s="1"/>
  <c r="V273" i="30" s="1"/>
  <c r="W273" i="30" s="1"/>
  <c r="X273" i="30" s="1"/>
  <c r="Y273" i="30" s="1"/>
  <c r="Z273" i="30" s="1"/>
  <c r="AA273" i="30" s="1"/>
  <c r="Q273" i="30"/>
  <c r="R273" i="30" s="1"/>
  <c r="P273" i="30"/>
  <c r="O273" i="30"/>
  <c r="P272" i="30"/>
  <c r="Q272" i="30" s="1"/>
  <c r="R272" i="30" s="1"/>
  <c r="S272" i="30" s="1"/>
  <c r="T272" i="30" s="1"/>
  <c r="U272" i="30" s="1"/>
  <c r="V272" i="30" s="1"/>
  <c r="W272" i="30" s="1"/>
  <c r="X272" i="30" s="1"/>
  <c r="Y272" i="30" s="1"/>
  <c r="Z272" i="30" s="1"/>
  <c r="AA272" i="30" s="1"/>
  <c r="O272" i="30"/>
  <c r="O270" i="30"/>
  <c r="P270" i="30" s="1"/>
  <c r="Q270" i="30" s="1"/>
  <c r="R270" i="30" s="1"/>
  <c r="S270" i="30" s="1"/>
  <c r="T270" i="30" s="1"/>
  <c r="U270" i="30" s="1"/>
  <c r="V270" i="30" s="1"/>
  <c r="W270" i="30" s="1"/>
  <c r="X270" i="30" s="1"/>
  <c r="Y270" i="30" s="1"/>
  <c r="Z270" i="30" s="1"/>
  <c r="AA270" i="30" s="1"/>
  <c r="P269" i="30"/>
  <c r="Q269" i="30" s="1"/>
  <c r="R269" i="30" s="1"/>
  <c r="S269" i="30" s="1"/>
  <c r="T269" i="30" s="1"/>
  <c r="U269" i="30" s="1"/>
  <c r="V269" i="30" s="1"/>
  <c r="W269" i="30" s="1"/>
  <c r="X269" i="30" s="1"/>
  <c r="Y269" i="30" s="1"/>
  <c r="Z269" i="30" s="1"/>
  <c r="AA269" i="30" s="1"/>
  <c r="O269" i="30"/>
  <c r="W268" i="30"/>
  <c r="X268" i="30" s="1"/>
  <c r="Y268" i="30" s="1"/>
  <c r="Z268" i="30" s="1"/>
  <c r="AA268" i="30" s="1"/>
  <c r="O268" i="30"/>
  <c r="P268" i="30" s="1"/>
  <c r="Q268" i="30" s="1"/>
  <c r="R268" i="30" s="1"/>
  <c r="S268" i="30" s="1"/>
  <c r="T268" i="30" s="1"/>
  <c r="U268" i="30" s="1"/>
  <c r="V268" i="30" s="1"/>
  <c r="R266" i="30"/>
  <c r="S266" i="30" s="1"/>
  <c r="T266" i="30" s="1"/>
  <c r="U266" i="30" s="1"/>
  <c r="V266" i="30" s="1"/>
  <c r="W266" i="30" s="1"/>
  <c r="X266" i="30" s="1"/>
  <c r="Y266" i="30" s="1"/>
  <c r="Z266" i="30" s="1"/>
  <c r="AA266" i="30" s="1"/>
  <c r="Q266" i="30"/>
  <c r="P266" i="30"/>
  <c r="O266" i="30"/>
  <c r="Q265" i="30"/>
  <c r="R265" i="30" s="1"/>
  <c r="S265" i="30" s="1"/>
  <c r="T265" i="30" s="1"/>
  <c r="U265" i="30" s="1"/>
  <c r="V265" i="30" s="1"/>
  <c r="W265" i="30" s="1"/>
  <c r="X265" i="30" s="1"/>
  <c r="Y265" i="30" s="1"/>
  <c r="Z265" i="30" s="1"/>
  <c r="AA265" i="30" s="1"/>
  <c r="O265" i="30"/>
  <c r="P265" i="30" s="1"/>
  <c r="O264" i="30"/>
  <c r="P264" i="30" s="1"/>
  <c r="N262" i="30"/>
  <c r="M262" i="30"/>
  <c r="L262" i="30"/>
  <c r="K262" i="30"/>
  <c r="J262" i="30"/>
  <c r="I262" i="30"/>
  <c r="H262" i="30"/>
  <c r="G262" i="30"/>
  <c r="U258" i="30"/>
  <c r="T258" i="30"/>
  <c r="S258" i="30"/>
  <c r="R258" i="30"/>
  <c r="Q258" i="30"/>
  <c r="P258" i="30"/>
  <c r="O258" i="30"/>
  <c r="F258" i="30"/>
  <c r="P257" i="30"/>
  <c r="O257" i="30"/>
  <c r="F257" i="30"/>
  <c r="O256" i="30"/>
  <c r="P256" i="30" s="1"/>
  <c r="F256" i="30"/>
  <c r="O255" i="30"/>
  <c r="P255" i="30" s="1"/>
  <c r="F255" i="30"/>
  <c r="O254" i="30"/>
  <c r="P254" i="30" s="1"/>
  <c r="F254" i="30"/>
  <c r="F252" i="30"/>
  <c r="F251" i="30"/>
  <c r="F250" i="30"/>
  <c r="F249" i="30"/>
  <c r="F248" i="30"/>
  <c r="F247" i="30"/>
  <c r="F246" i="30"/>
  <c r="F245" i="30"/>
  <c r="P244" i="30"/>
  <c r="O244" i="30"/>
  <c r="F244" i="30"/>
  <c r="O243" i="30"/>
  <c r="P243" i="30" s="1"/>
  <c r="F243" i="30"/>
  <c r="P242" i="30"/>
  <c r="O242" i="30"/>
  <c r="F242" i="30"/>
  <c r="O241" i="30"/>
  <c r="P241" i="30" s="1"/>
  <c r="F241" i="30"/>
  <c r="O240" i="30"/>
  <c r="P240" i="30" s="1"/>
  <c r="F240" i="30"/>
  <c r="P238" i="30"/>
  <c r="O238" i="30"/>
  <c r="F238" i="30"/>
  <c r="P237" i="30"/>
  <c r="O237" i="30"/>
  <c r="F237" i="30"/>
  <c r="Q235" i="30"/>
  <c r="P235" i="30"/>
  <c r="O235" i="30"/>
  <c r="F235" i="30"/>
  <c r="Q234" i="30"/>
  <c r="P234" i="30"/>
  <c r="O234" i="30"/>
  <c r="F234" i="30"/>
  <c r="P232" i="30"/>
  <c r="O232" i="30"/>
  <c r="F232" i="30"/>
  <c r="Q230" i="30"/>
  <c r="P230" i="30"/>
  <c r="O230" i="30"/>
  <c r="F230" i="30"/>
  <c r="Q229" i="30"/>
  <c r="P229" i="30"/>
  <c r="O229" i="30"/>
  <c r="F229" i="30"/>
  <c r="Q228" i="30"/>
  <c r="P228" i="30"/>
  <c r="O228" i="30"/>
  <c r="F228" i="30"/>
  <c r="Q227" i="30"/>
  <c r="P227" i="30"/>
  <c r="O227" i="30"/>
  <c r="F227" i="30"/>
  <c r="V226" i="30"/>
  <c r="W226" i="30" s="1"/>
  <c r="X226" i="30" s="1"/>
  <c r="Y226" i="30" s="1"/>
  <c r="Z226" i="30" s="1"/>
  <c r="AA226" i="30" s="1"/>
  <c r="O226" i="30"/>
  <c r="P226" i="30" s="1"/>
  <c r="Q226" i="30" s="1"/>
  <c r="R226" i="30" s="1"/>
  <c r="S226" i="30" s="1"/>
  <c r="T226" i="30" s="1"/>
  <c r="U226" i="30" s="1"/>
  <c r="P225" i="30"/>
  <c r="O225" i="30"/>
  <c r="F225" i="30"/>
  <c r="P224" i="30"/>
  <c r="O224" i="30"/>
  <c r="F224" i="30"/>
  <c r="P223" i="30"/>
  <c r="O223" i="30"/>
  <c r="F223" i="30"/>
  <c r="P222" i="30"/>
  <c r="O222" i="30"/>
  <c r="F222" i="30"/>
  <c r="U220" i="30"/>
  <c r="T220" i="30"/>
  <c r="S220" i="30"/>
  <c r="R220" i="30"/>
  <c r="Q220" i="30"/>
  <c r="P220" i="30"/>
  <c r="O220" i="30"/>
  <c r="F220" i="30"/>
  <c r="U219" i="30"/>
  <c r="T219" i="30"/>
  <c r="S219" i="30"/>
  <c r="R219" i="30"/>
  <c r="Q219" i="30"/>
  <c r="P219" i="30"/>
  <c r="O219" i="30"/>
  <c r="F219" i="30"/>
  <c r="U218" i="30"/>
  <c r="T218" i="30"/>
  <c r="S218" i="30"/>
  <c r="R218" i="30"/>
  <c r="Q218" i="30"/>
  <c r="P218" i="30"/>
  <c r="O218" i="30"/>
  <c r="F218" i="30"/>
  <c r="U217" i="30"/>
  <c r="T217" i="30"/>
  <c r="S217" i="30"/>
  <c r="R217" i="30"/>
  <c r="Q217" i="30"/>
  <c r="P217" i="30"/>
  <c r="O217" i="30"/>
  <c r="F217" i="30"/>
  <c r="F215" i="30"/>
  <c r="F214" i="30"/>
  <c r="F213" i="30"/>
  <c r="P212" i="30"/>
  <c r="O212" i="30"/>
  <c r="F212" i="30"/>
  <c r="U211" i="30"/>
  <c r="T211" i="30"/>
  <c r="S211" i="30"/>
  <c r="R211" i="30"/>
  <c r="Q211" i="30"/>
  <c r="P211" i="30"/>
  <c r="O211" i="30"/>
  <c r="F211" i="30"/>
  <c r="U210" i="30"/>
  <c r="T210" i="30"/>
  <c r="S210" i="30"/>
  <c r="R210" i="30"/>
  <c r="Q210" i="30"/>
  <c r="P210" i="30"/>
  <c r="O210" i="30"/>
  <c r="F210" i="30"/>
  <c r="U209" i="30"/>
  <c r="T209" i="30"/>
  <c r="S209" i="30"/>
  <c r="R209" i="30"/>
  <c r="Q209" i="30"/>
  <c r="P209" i="30"/>
  <c r="O209" i="30"/>
  <c r="F209" i="30"/>
  <c r="U207" i="30"/>
  <c r="T207" i="30"/>
  <c r="S207" i="30"/>
  <c r="R207" i="30"/>
  <c r="Q207" i="30"/>
  <c r="P207" i="30"/>
  <c r="O207" i="30"/>
  <c r="F207" i="30"/>
  <c r="R206" i="30"/>
  <c r="S206" i="30" s="1"/>
  <c r="T206" i="30" s="1"/>
  <c r="U206" i="30" s="1"/>
  <c r="O206" i="30"/>
  <c r="P206" i="30" s="1"/>
  <c r="Q206" i="30" s="1"/>
  <c r="F206" i="30"/>
  <c r="R205" i="30"/>
  <c r="S205" i="30" s="1"/>
  <c r="T205" i="30" s="1"/>
  <c r="U205" i="30" s="1"/>
  <c r="P205" i="30"/>
  <c r="Q205" i="30" s="1"/>
  <c r="F205" i="30"/>
  <c r="Q204" i="30"/>
  <c r="R204" i="30" s="1"/>
  <c r="S204" i="30" s="1"/>
  <c r="T204" i="30" s="1"/>
  <c r="U204" i="30" s="1"/>
  <c r="P204" i="30"/>
  <c r="F204" i="30"/>
  <c r="U203" i="30"/>
  <c r="T203" i="30"/>
  <c r="S203" i="30"/>
  <c r="R203" i="30"/>
  <c r="Q203" i="30"/>
  <c r="P203" i="30"/>
  <c r="O203" i="30"/>
  <c r="F203" i="30"/>
  <c r="T202" i="30"/>
  <c r="U202" i="30" s="1"/>
  <c r="P202" i="30"/>
  <c r="Q202" i="30" s="1"/>
  <c r="R202" i="30" s="1"/>
  <c r="S202" i="30" s="1"/>
  <c r="O202" i="30"/>
  <c r="F202" i="30"/>
  <c r="U201" i="30"/>
  <c r="T201" i="30"/>
  <c r="S201" i="30"/>
  <c r="R201" i="30"/>
  <c r="Q201" i="30"/>
  <c r="P201" i="30"/>
  <c r="O201" i="30"/>
  <c r="F201" i="30"/>
  <c r="P200" i="30"/>
  <c r="O200" i="30"/>
  <c r="F200" i="30"/>
  <c r="P199" i="30"/>
  <c r="Q199" i="30" s="1"/>
  <c r="R199" i="30" s="1"/>
  <c r="S199" i="30" s="1"/>
  <c r="T199" i="30" s="1"/>
  <c r="U199" i="30" s="1"/>
  <c r="V199" i="30" s="1"/>
  <c r="W199" i="30" s="1"/>
  <c r="X199" i="30" s="1"/>
  <c r="Y199" i="30" s="1"/>
  <c r="Z199" i="30" s="1"/>
  <c r="AA199" i="30" s="1"/>
  <c r="O199" i="30"/>
  <c r="O198" i="30"/>
  <c r="P198" i="30" s="1"/>
  <c r="Q198" i="30" s="1"/>
  <c r="R198" i="30" s="1"/>
  <c r="S198" i="30" s="1"/>
  <c r="T198" i="30" s="1"/>
  <c r="P197" i="30"/>
  <c r="O197" i="30"/>
  <c r="F197" i="30"/>
  <c r="P196" i="30"/>
  <c r="O196" i="30"/>
  <c r="F196" i="30"/>
  <c r="P195" i="30"/>
  <c r="P190" i="30" s="1"/>
  <c r="O195" i="30"/>
  <c r="F195" i="30"/>
  <c r="U193" i="30"/>
  <c r="T193" i="30"/>
  <c r="S193" i="30"/>
  <c r="R193" i="30"/>
  <c r="Q193" i="30"/>
  <c r="P193" i="30"/>
  <c r="O193" i="30"/>
  <c r="F193" i="30"/>
  <c r="U192" i="30"/>
  <c r="T192" i="30"/>
  <c r="S192" i="30"/>
  <c r="R192" i="30"/>
  <c r="Q192" i="30"/>
  <c r="P192" i="30"/>
  <c r="O192" i="30"/>
  <c r="F192" i="30"/>
  <c r="N190" i="30"/>
  <c r="M190" i="30"/>
  <c r="L190" i="30"/>
  <c r="K190" i="30"/>
  <c r="J190" i="30"/>
  <c r="J41" i="30" s="1"/>
  <c r="I190" i="30"/>
  <c r="H190" i="30"/>
  <c r="G190" i="30"/>
  <c r="AA183" i="30"/>
  <c r="Z183" i="30"/>
  <c r="Y183" i="30"/>
  <c r="X183" i="30"/>
  <c r="W183" i="30"/>
  <c r="W177" i="30" s="1"/>
  <c r="V183" i="30"/>
  <c r="U183" i="30"/>
  <c r="T183" i="30"/>
  <c r="S183" i="30"/>
  <c r="R183" i="30"/>
  <c r="Q183" i="30"/>
  <c r="P183" i="30"/>
  <c r="O183" i="30"/>
  <c r="O177" i="30" s="1"/>
  <c r="N183" i="30"/>
  <c r="M183" i="30"/>
  <c r="L183" i="30"/>
  <c r="K183" i="30"/>
  <c r="J183" i="30"/>
  <c r="I183" i="30"/>
  <c r="H183" i="30"/>
  <c r="G183" i="30"/>
  <c r="B183" i="30"/>
  <c r="AA181" i="30"/>
  <c r="Z181" i="30"/>
  <c r="Z177" i="30" s="1"/>
  <c r="Y181" i="30"/>
  <c r="X181" i="30"/>
  <c r="W181" i="30"/>
  <c r="V181" i="30"/>
  <c r="U181" i="30"/>
  <c r="U177" i="30" s="1"/>
  <c r="T181" i="30"/>
  <c r="S181" i="30"/>
  <c r="R181" i="30"/>
  <c r="R177" i="30" s="1"/>
  <c r="Q181" i="30"/>
  <c r="P181" i="30"/>
  <c r="O181" i="30"/>
  <c r="N181" i="30"/>
  <c r="M181" i="30"/>
  <c r="M177" i="30" s="1"/>
  <c r="L181" i="30"/>
  <c r="K181" i="30"/>
  <c r="J181" i="30"/>
  <c r="J177" i="30" s="1"/>
  <c r="I181" i="30"/>
  <c r="H181" i="30"/>
  <c r="G181" i="30"/>
  <c r="B181" i="30"/>
  <c r="AA179" i="30"/>
  <c r="AA177" i="30" s="1"/>
  <c r="Z179" i="30"/>
  <c r="Y179" i="30"/>
  <c r="X179" i="30"/>
  <c r="X177" i="30" s="1"/>
  <c r="W179" i="30"/>
  <c r="V179" i="30"/>
  <c r="U179" i="30"/>
  <c r="T179" i="30"/>
  <c r="S179" i="30"/>
  <c r="S177" i="30" s="1"/>
  <c r="R179" i="30"/>
  <c r="Q179" i="30"/>
  <c r="P179" i="30"/>
  <c r="P177" i="30" s="1"/>
  <c r="O179" i="30"/>
  <c r="N179" i="30"/>
  <c r="M179" i="30"/>
  <c r="L179" i="30"/>
  <c r="K179" i="30"/>
  <c r="K177" i="30" s="1"/>
  <c r="J179" i="30"/>
  <c r="I179" i="30"/>
  <c r="H179" i="30"/>
  <c r="H177" i="30" s="1"/>
  <c r="G179" i="30"/>
  <c r="B179" i="30"/>
  <c r="Y177" i="30"/>
  <c r="V177" i="30"/>
  <c r="Q177" i="30"/>
  <c r="N177" i="30"/>
  <c r="I177" i="30"/>
  <c r="AA173" i="30"/>
  <c r="Z173" i="30"/>
  <c r="Y173" i="30"/>
  <c r="X173" i="30"/>
  <c r="W173" i="30"/>
  <c r="V173" i="30"/>
  <c r="U173" i="30"/>
  <c r="T173" i="30"/>
  <c r="S173" i="30"/>
  <c r="R173" i="30"/>
  <c r="Q173" i="30"/>
  <c r="P173" i="30"/>
  <c r="O173" i="30"/>
  <c r="N173" i="30"/>
  <c r="M173" i="30"/>
  <c r="L173" i="30"/>
  <c r="K173" i="30"/>
  <c r="J173" i="30"/>
  <c r="I173" i="30"/>
  <c r="H173" i="30"/>
  <c r="G173" i="30"/>
  <c r="B173" i="30"/>
  <c r="AA171" i="30"/>
  <c r="AA169" i="30" s="1"/>
  <c r="Z171" i="30"/>
  <c r="Y171" i="30"/>
  <c r="Y169" i="30" s="1"/>
  <c r="X171" i="30"/>
  <c r="W171" i="30"/>
  <c r="W169" i="30" s="1"/>
  <c r="V171" i="30"/>
  <c r="U171" i="30"/>
  <c r="U169" i="30" s="1"/>
  <c r="T171" i="30"/>
  <c r="T169" i="30" s="1"/>
  <c r="S171" i="30"/>
  <c r="S169" i="30" s="1"/>
  <c r="R171" i="30"/>
  <c r="Q171" i="30"/>
  <c r="P171" i="30"/>
  <c r="O171" i="30"/>
  <c r="O169" i="30" s="1"/>
  <c r="N171" i="30"/>
  <c r="M171" i="30"/>
  <c r="M169" i="30" s="1"/>
  <c r="L171" i="30"/>
  <c r="L169" i="30" s="1"/>
  <c r="K171" i="30"/>
  <c r="K169" i="30" s="1"/>
  <c r="J171" i="30"/>
  <c r="I171" i="30"/>
  <c r="I169" i="30" s="1"/>
  <c r="H171" i="30"/>
  <c r="G171" i="30"/>
  <c r="G169" i="30" s="1"/>
  <c r="Z169" i="30"/>
  <c r="X169" i="30"/>
  <c r="V169" i="30"/>
  <c r="R169" i="30"/>
  <c r="Q169" i="30"/>
  <c r="P169" i="30"/>
  <c r="N169" i="30"/>
  <c r="J169" i="30"/>
  <c r="H169" i="30"/>
  <c r="AA165" i="30"/>
  <c r="AA151" i="30" s="1"/>
  <c r="Z165" i="30"/>
  <c r="Y165" i="30"/>
  <c r="X165" i="30"/>
  <c r="W165" i="30"/>
  <c r="V165" i="30"/>
  <c r="V151" i="30" s="1"/>
  <c r="U165" i="30"/>
  <c r="T165" i="30"/>
  <c r="S165" i="30"/>
  <c r="S151" i="30" s="1"/>
  <c r="R165" i="30"/>
  <c r="Q165" i="30"/>
  <c r="P165" i="30"/>
  <c r="O165" i="30"/>
  <c r="N165" i="30"/>
  <c r="M165" i="30"/>
  <c r="L165" i="30"/>
  <c r="K165" i="30"/>
  <c r="J165" i="30"/>
  <c r="I165" i="30"/>
  <c r="H165" i="30"/>
  <c r="G165" i="30"/>
  <c r="B165" i="30"/>
  <c r="AA163" i="30"/>
  <c r="Z163" i="30"/>
  <c r="Y163" i="30"/>
  <c r="Y151" i="30" s="1"/>
  <c r="X163" i="30"/>
  <c r="W163" i="30"/>
  <c r="V163" i="30"/>
  <c r="U163" i="30"/>
  <c r="T163" i="30"/>
  <c r="S163" i="30"/>
  <c r="R163" i="30"/>
  <c r="Q163" i="30"/>
  <c r="P163" i="30"/>
  <c r="O163" i="30"/>
  <c r="N163" i="30"/>
  <c r="M163" i="30"/>
  <c r="L163" i="30"/>
  <c r="K163" i="30"/>
  <c r="J163" i="30"/>
  <c r="I163" i="30"/>
  <c r="H163" i="30"/>
  <c r="G163" i="30"/>
  <c r="B163" i="30"/>
  <c r="AA161" i="30"/>
  <c r="Z161" i="30"/>
  <c r="Y161" i="30"/>
  <c r="X161" i="30"/>
  <c r="W161" i="30"/>
  <c r="V161" i="30"/>
  <c r="U161" i="30"/>
  <c r="T161" i="30"/>
  <c r="S161" i="30"/>
  <c r="R161" i="30"/>
  <c r="Q161" i="30"/>
  <c r="P161" i="30"/>
  <c r="O161" i="30"/>
  <c r="N161" i="30"/>
  <c r="M161" i="30"/>
  <c r="L161" i="30"/>
  <c r="K161" i="30"/>
  <c r="J161" i="30"/>
  <c r="I161" i="30"/>
  <c r="H161" i="30"/>
  <c r="G161" i="30"/>
  <c r="B161" i="30"/>
  <c r="AA159" i="30"/>
  <c r="Z159" i="30"/>
  <c r="Y159" i="30"/>
  <c r="X159" i="30"/>
  <c r="W159" i="30"/>
  <c r="V159" i="30"/>
  <c r="U159" i="30"/>
  <c r="T159" i="30"/>
  <c r="S159" i="30"/>
  <c r="R159" i="30"/>
  <c r="Q159" i="30"/>
  <c r="P159" i="30"/>
  <c r="O159" i="30"/>
  <c r="N159" i="30"/>
  <c r="M159" i="30"/>
  <c r="L159" i="30"/>
  <c r="K159" i="30"/>
  <c r="J159" i="30"/>
  <c r="I159" i="30"/>
  <c r="H159" i="30"/>
  <c r="G159" i="30"/>
  <c r="AA157" i="30"/>
  <c r="Z157" i="30"/>
  <c r="Y157" i="30"/>
  <c r="X157" i="30"/>
  <c r="W157" i="30"/>
  <c r="V157" i="30"/>
  <c r="U157" i="30"/>
  <c r="U151" i="30" s="1"/>
  <c r="T157" i="30"/>
  <c r="S157" i="30"/>
  <c r="R157" i="30"/>
  <c r="Q157" i="30"/>
  <c r="P157" i="30"/>
  <c r="O157" i="30"/>
  <c r="N157" i="30"/>
  <c r="M157" i="30"/>
  <c r="L157" i="30"/>
  <c r="K157" i="30"/>
  <c r="J157" i="30"/>
  <c r="I157" i="30"/>
  <c r="H157" i="30"/>
  <c r="G157" i="30"/>
  <c r="AA155" i="30"/>
  <c r="Z155" i="30"/>
  <c r="Z151" i="30" s="1"/>
  <c r="Y155" i="30"/>
  <c r="X155" i="30"/>
  <c r="W155" i="30"/>
  <c r="V155" i="30"/>
  <c r="U155" i="30"/>
  <c r="T155" i="30"/>
  <c r="S155" i="30"/>
  <c r="R155" i="30"/>
  <c r="Q155" i="30"/>
  <c r="P155" i="30"/>
  <c r="O155" i="30"/>
  <c r="N155" i="30"/>
  <c r="M155" i="30"/>
  <c r="L155" i="30"/>
  <c r="K155" i="30"/>
  <c r="J155" i="30"/>
  <c r="I155" i="30"/>
  <c r="H155" i="30"/>
  <c r="G155" i="30"/>
  <c r="AA153" i="30"/>
  <c r="Z153" i="30"/>
  <c r="Y153" i="30"/>
  <c r="X153" i="30"/>
  <c r="W153" i="30"/>
  <c r="W151" i="30" s="1"/>
  <c r="V153" i="30"/>
  <c r="U153" i="30"/>
  <c r="T153" i="30"/>
  <c r="T151" i="30" s="1"/>
  <c r="S153" i="30"/>
  <c r="R153" i="30"/>
  <c r="Q153" i="30"/>
  <c r="P153" i="30"/>
  <c r="O153" i="30"/>
  <c r="O151" i="30" s="1"/>
  <c r="N153" i="30"/>
  <c r="M153" i="30"/>
  <c r="L153" i="30"/>
  <c r="L151" i="30" s="1"/>
  <c r="K153" i="30"/>
  <c r="J153" i="30"/>
  <c r="I153" i="30"/>
  <c r="H153" i="30"/>
  <c r="H151" i="30" s="1"/>
  <c r="G153" i="30"/>
  <c r="G151" i="30" s="1"/>
  <c r="Q151" i="30"/>
  <c r="N151" i="30"/>
  <c r="M151" i="30"/>
  <c r="K151" i="30"/>
  <c r="I151" i="30"/>
  <c r="AA147" i="30"/>
  <c r="Z147" i="30"/>
  <c r="Y147" i="30"/>
  <c r="X147" i="30"/>
  <c r="W147" i="30"/>
  <c r="V147" i="30"/>
  <c r="U147" i="30"/>
  <c r="T147" i="30"/>
  <c r="S147" i="30"/>
  <c r="R147" i="30"/>
  <c r="Q147" i="30"/>
  <c r="P147" i="30"/>
  <c r="O147" i="30"/>
  <c r="N147" i="30"/>
  <c r="M147" i="30"/>
  <c r="L147" i="30"/>
  <c r="K147" i="30"/>
  <c r="J147" i="30"/>
  <c r="I147" i="30"/>
  <c r="I132" i="30" s="1"/>
  <c r="H147" i="30"/>
  <c r="G147" i="30"/>
  <c r="AA145" i="30"/>
  <c r="Z145" i="30"/>
  <c r="Y145" i="30"/>
  <c r="X145" i="30"/>
  <c r="W145" i="30"/>
  <c r="V145" i="30"/>
  <c r="V132" i="30" s="1"/>
  <c r="U145" i="30"/>
  <c r="T145" i="30"/>
  <c r="S145" i="30"/>
  <c r="R145" i="30"/>
  <c r="Q145" i="30"/>
  <c r="P145" i="30"/>
  <c r="O145" i="30"/>
  <c r="N145" i="30"/>
  <c r="N132" i="30" s="1"/>
  <c r="M145" i="30"/>
  <c r="L145" i="30"/>
  <c r="K145" i="30"/>
  <c r="J145" i="30"/>
  <c r="I145" i="30"/>
  <c r="H145" i="30"/>
  <c r="G145" i="30"/>
  <c r="AA143" i="30"/>
  <c r="AA132" i="30" s="1"/>
  <c r="Z143" i="30"/>
  <c r="Y143" i="30"/>
  <c r="X143" i="30"/>
  <c r="W143" i="30"/>
  <c r="V143" i="30"/>
  <c r="U143" i="30"/>
  <c r="T143" i="30"/>
  <c r="S143" i="30"/>
  <c r="S132" i="30" s="1"/>
  <c r="R143" i="30"/>
  <c r="Q143" i="30"/>
  <c r="P143" i="30"/>
  <c r="O143" i="30"/>
  <c r="N143" i="30"/>
  <c r="M143" i="30"/>
  <c r="L143" i="30"/>
  <c r="K143" i="30"/>
  <c r="K132" i="30" s="1"/>
  <c r="J143" i="30"/>
  <c r="I143" i="30"/>
  <c r="H143" i="30"/>
  <c r="G143" i="30"/>
  <c r="AA141" i="30"/>
  <c r="Z141" i="30"/>
  <c r="Y141" i="30"/>
  <c r="X141" i="30"/>
  <c r="X132" i="30" s="1"/>
  <c r="W141" i="30"/>
  <c r="V141" i="30"/>
  <c r="U141" i="30"/>
  <c r="T141" i="30"/>
  <c r="S141" i="30"/>
  <c r="R141" i="30"/>
  <c r="Q141" i="30"/>
  <c r="P141" i="30"/>
  <c r="P132" i="30" s="1"/>
  <c r="O141" i="30"/>
  <c r="N141" i="30"/>
  <c r="M141" i="30"/>
  <c r="L141" i="30"/>
  <c r="K141" i="30"/>
  <c r="J141" i="30"/>
  <c r="I141" i="30"/>
  <c r="H141" i="30"/>
  <c r="H132" i="30" s="1"/>
  <c r="G141" i="30"/>
  <c r="AA140" i="30"/>
  <c r="Z140" i="30"/>
  <c r="Y140" i="30"/>
  <c r="X140" i="30"/>
  <c r="W140" i="30"/>
  <c r="V140" i="30"/>
  <c r="U140" i="30"/>
  <c r="T140" i="30"/>
  <c r="S140" i="30"/>
  <c r="R140" i="30"/>
  <c r="Q140" i="30"/>
  <c r="P140" i="30"/>
  <c r="O140" i="30"/>
  <c r="N140" i="30"/>
  <c r="M140" i="30"/>
  <c r="L140" i="30"/>
  <c r="K140" i="30"/>
  <c r="J140" i="30"/>
  <c r="I140" i="30"/>
  <c r="H140" i="30"/>
  <c r="G140" i="30"/>
  <c r="AA138" i="30"/>
  <c r="Z138" i="30"/>
  <c r="Z132" i="30" s="1"/>
  <c r="Y138" i="30"/>
  <c r="X138" i="30"/>
  <c r="W138" i="30"/>
  <c r="V138" i="30"/>
  <c r="U138" i="30"/>
  <c r="T138" i="30"/>
  <c r="S138" i="30"/>
  <c r="R138" i="30"/>
  <c r="R132" i="30" s="1"/>
  <c r="Q138" i="30"/>
  <c r="P138" i="30"/>
  <c r="O138" i="30"/>
  <c r="N138" i="30"/>
  <c r="M138" i="30"/>
  <c r="L138" i="30"/>
  <c r="K138" i="30"/>
  <c r="J138" i="30"/>
  <c r="J132" i="30" s="1"/>
  <c r="I138" i="30"/>
  <c r="H138" i="30"/>
  <c r="G138" i="30"/>
  <c r="AA136" i="30"/>
  <c r="Z136" i="30"/>
  <c r="Y136" i="30"/>
  <c r="X136" i="30"/>
  <c r="W136" i="30"/>
  <c r="W132" i="30" s="1"/>
  <c r="V136" i="30"/>
  <c r="U136" i="30"/>
  <c r="T136" i="30"/>
  <c r="S136" i="30"/>
  <c r="R136" i="30"/>
  <c r="Q136" i="30"/>
  <c r="P136" i="30"/>
  <c r="O136" i="30"/>
  <c r="O132" i="30" s="1"/>
  <c r="N136" i="30"/>
  <c r="M136" i="30"/>
  <c r="L136" i="30"/>
  <c r="K136" i="30"/>
  <c r="J136" i="30"/>
  <c r="I136" i="30"/>
  <c r="H136" i="30"/>
  <c r="G136" i="30"/>
  <c r="AA134" i="30"/>
  <c r="Z134" i="30"/>
  <c r="Y134" i="30"/>
  <c r="Y132" i="30" s="1"/>
  <c r="X134" i="30"/>
  <c r="W134" i="30"/>
  <c r="V134" i="30"/>
  <c r="U134" i="30"/>
  <c r="T134" i="30"/>
  <c r="T132" i="30" s="1"/>
  <c r="S134" i="30"/>
  <c r="R134" i="30"/>
  <c r="Q134" i="30"/>
  <c r="P134" i="30"/>
  <c r="O134" i="30"/>
  <c r="N134" i="30"/>
  <c r="M134" i="30"/>
  <c r="L134" i="30"/>
  <c r="L132" i="30" s="1"/>
  <c r="K134" i="30"/>
  <c r="J134" i="30"/>
  <c r="I134" i="30"/>
  <c r="H134" i="30"/>
  <c r="G134" i="30"/>
  <c r="G132" i="30" s="1"/>
  <c r="Q132" i="30"/>
  <c r="AA127" i="30"/>
  <c r="Z127" i="30"/>
  <c r="Y127" i="30"/>
  <c r="X127" i="30"/>
  <c r="W127" i="30"/>
  <c r="V127" i="30"/>
  <c r="U127" i="30"/>
  <c r="T127" i="30"/>
  <c r="S127" i="30"/>
  <c r="R127" i="30"/>
  <c r="Q127" i="30"/>
  <c r="P127" i="30"/>
  <c r="O127" i="30"/>
  <c r="N127" i="30"/>
  <c r="M127" i="30"/>
  <c r="L127" i="30"/>
  <c r="K127" i="30"/>
  <c r="J127" i="30"/>
  <c r="I127" i="30"/>
  <c r="H127" i="30"/>
  <c r="G127" i="30"/>
  <c r="B127" i="30"/>
  <c r="AA125" i="30"/>
  <c r="Z125" i="30"/>
  <c r="Y125" i="30"/>
  <c r="X125" i="30"/>
  <c r="W125" i="30"/>
  <c r="V125" i="30"/>
  <c r="U125" i="30"/>
  <c r="T125" i="30"/>
  <c r="S125" i="30"/>
  <c r="R125" i="30"/>
  <c r="Q125" i="30"/>
  <c r="P125" i="30"/>
  <c r="O125" i="30"/>
  <c r="N125" i="30"/>
  <c r="M125" i="30"/>
  <c r="L125" i="30"/>
  <c r="K125" i="30"/>
  <c r="J125" i="30"/>
  <c r="I125" i="30"/>
  <c r="H125" i="30"/>
  <c r="G125" i="30"/>
  <c r="B125" i="30"/>
  <c r="AA123" i="30"/>
  <c r="Z123" i="30"/>
  <c r="Y123" i="30"/>
  <c r="X123" i="30"/>
  <c r="W123" i="30"/>
  <c r="V123" i="30"/>
  <c r="U123" i="30"/>
  <c r="T123" i="30"/>
  <c r="S123" i="30"/>
  <c r="R123" i="30"/>
  <c r="Q123" i="30"/>
  <c r="P123" i="30"/>
  <c r="O123" i="30"/>
  <c r="N123" i="30"/>
  <c r="M123" i="30"/>
  <c r="L123" i="30"/>
  <c r="K123" i="30"/>
  <c r="J123" i="30"/>
  <c r="I123" i="30"/>
  <c r="H123" i="30"/>
  <c r="G123" i="30"/>
  <c r="B123" i="30"/>
  <c r="AA121" i="30"/>
  <c r="Z121" i="30"/>
  <c r="Y121" i="30"/>
  <c r="X121" i="30"/>
  <c r="W121" i="30"/>
  <c r="V121" i="30"/>
  <c r="U121" i="30"/>
  <c r="T121" i="30"/>
  <c r="S121" i="30"/>
  <c r="R121" i="30"/>
  <c r="Q121" i="30"/>
  <c r="P121" i="30"/>
  <c r="P82" i="30" s="1"/>
  <c r="O121" i="30"/>
  <c r="N121" i="30"/>
  <c r="M121" i="30"/>
  <c r="L121" i="30"/>
  <c r="K121" i="30"/>
  <c r="J121" i="30"/>
  <c r="I121" i="30"/>
  <c r="H121" i="30"/>
  <c r="G121" i="30"/>
  <c r="B121" i="30"/>
  <c r="AA119" i="30"/>
  <c r="Z119" i="30"/>
  <c r="Y119" i="30"/>
  <c r="X119" i="30"/>
  <c r="W119" i="30"/>
  <c r="V119" i="30"/>
  <c r="U119" i="30"/>
  <c r="T119" i="30"/>
  <c r="S119" i="30"/>
  <c r="R119" i="30"/>
  <c r="Q119" i="30"/>
  <c r="P119" i="30"/>
  <c r="O119" i="30"/>
  <c r="N119" i="30"/>
  <c r="M119" i="30"/>
  <c r="L119" i="30"/>
  <c r="K119" i="30"/>
  <c r="J119" i="30"/>
  <c r="I119" i="30"/>
  <c r="H119" i="30"/>
  <c r="G119" i="30"/>
  <c r="B119" i="30"/>
  <c r="AA117" i="30"/>
  <c r="Z117" i="30"/>
  <c r="Y117" i="30"/>
  <c r="X117" i="30"/>
  <c r="W117" i="30"/>
  <c r="V117" i="30"/>
  <c r="U117" i="30"/>
  <c r="T117" i="30"/>
  <c r="S117" i="30"/>
  <c r="R117" i="30"/>
  <c r="Q117" i="30"/>
  <c r="P117" i="30"/>
  <c r="O117" i="30"/>
  <c r="N117" i="30"/>
  <c r="M117" i="30"/>
  <c r="L117" i="30"/>
  <c r="K117" i="30"/>
  <c r="J117" i="30"/>
  <c r="I117" i="30"/>
  <c r="H117" i="30"/>
  <c r="G117" i="30"/>
  <c r="B117" i="30"/>
  <c r="AA115" i="30"/>
  <c r="Z115" i="30"/>
  <c r="Y115" i="30"/>
  <c r="X115" i="30"/>
  <c r="W115" i="30"/>
  <c r="V115" i="30"/>
  <c r="U115" i="30"/>
  <c r="T115" i="30"/>
  <c r="S115" i="30"/>
  <c r="R115" i="30"/>
  <c r="Q115" i="30"/>
  <c r="P115" i="30"/>
  <c r="O115" i="30"/>
  <c r="N115" i="30"/>
  <c r="M115" i="30"/>
  <c r="L115" i="30"/>
  <c r="K115" i="30"/>
  <c r="J115" i="30"/>
  <c r="I115" i="30"/>
  <c r="H115" i="30"/>
  <c r="G115" i="30"/>
  <c r="D115" i="30"/>
  <c r="B115" i="30"/>
  <c r="AA113" i="30"/>
  <c r="Z113" i="30"/>
  <c r="Y113" i="30"/>
  <c r="X113" i="30"/>
  <c r="W113" i="30"/>
  <c r="V113" i="30"/>
  <c r="U113" i="30"/>
  <c r="T113" i="30"/>
  <c r="S113" i="30"/>
  <c r="R113" i="30"/>
  <c r="Q113" i="30"/>
  <c r="P113" i="30"/>
  <c r="O113" i="30"/>
  <c r="N113" i="30"/>
  <c r="M113" i="30"/>
  <c r="L113" i="30"/>
  <c r="K113" i="30"/>
  <c r="J113" i="30"/>
  <c r="I113" i="30"/>
  <c r="H113" i="30"/>
  <c r="G113" i="30"/>
  <c r="B113" i="30"/>
  <c r="AA111" i="30"/>
  <c r="Z111" i="30"/>
  <c r="Y111" i="30"/>
  <c r="X111" i="30"/>
  <c r="W111" i="30"/>
  <c r="V111" i="30"/>
  <c r="U111" i="30"/>
  <c r="T111" i="30"/>
  <c r="S111" i="30"/>
  <c r="R111" i="30"/>
  <c r="Q111" i="30"/>
  <c r="P111" i="30"/>
  <c r="O111" i="30"/>
  <c r="N111" i="30"/>
  <c r="M111" i="30"/>
  <c r="L111" i="30"/>
  <c r="K111" i="30"/>
  <c r="J111" i="30"/>
  <c r="I111" i="30"/>
  <c r="H111" i="30"/>
  <c r="G111" i="30"/>
  <c r="B111" i="30"/>
  <c r="AA109" i="30"/>
  <c r="Z109" i="30"/>
  <c r="Y109" i="30"/>
  <c r="X109" i="30"/>
  <c r="W109" i="30"/>
  <c r="V109" i="30"/>
  <c r="U109" i="30"/>
  <c r="T109" i="30"/>
  <c r="S109" i="30"/>
  <c r="R109" i="30"/>
  <c r="Q109" i="30"/>
  <c r="P109" i="30"/>
  <c r="O109" i="30"/>
  <c r="N109" i="30"/>
  <c r="M109" i="30"/>
  <c r="L109" i="30"/>
  <c r="K109" i="30"/>
  <c r="J109" i="30"/>
  <c r="I109" i="30"/>
  <c r="H109" i="30"/>
  <c r="G109" i="30"/>
  <c r="B109" i="30"/>
  <c r="AA107" i="30"/>
  <c r="Z107" i="30"/>
  <c r="Y107" i="30"/>
  <c r="X107" i="30"/>
  <c r="W107" i="30"/>
  <c r="V107" i="30"/>
  <c r="U107" i="30"/>
  <c r="T107" i="30"/>
  <c r="S107" i="30"/>
  <c r="R107" i="30"/>
  <c r="Q107" i="30"/>
  <c r="P107" i="30"/>
  <c r="O107" i="30"/>
  <c r="N107" i="30"/>
  <c r="M107" i="30"/>
  <c r="L107" i="30"/>
  <c r="K107" i="30"/>
  <c r="J107" i="30"/>
  <c r="I107" i="30"/>
  <c r="H107" i="30"/>
  <c r="G107" i="30"/>
  <c r="B107" i="30"/>
  <c r="AA105" i="30"/>
  <c r="Z105" i="30"/>
  <c r="Y105" i="30"/>
  <c r="X105" i="30"/>
  <c r="W105" i="30"/>
  <c r="V105" i="30"/>
  <c r="U105" i="30"/>
  <c r="T105" i="30"/>
  <c r="S105" i="30"/>
  <c r="R105" i="30"/>
  <c r="Q105" i="30"/>
  <c r="P105" i="30"/>
  <c r="O105" i="30"/>
  <c r="N105" i="30"/>
  <c r="M105" i="30"/>
  <c r="L105" i="30"/>
  <c r="K105" i="30"/>
  <c r="J105" i="30"/>
  <c r="I105" i="30"/>
  <c r="H105" i="30"/>
  <c r="G105" i="30"/>
  <c r="B105" i="30"/>
  <c r="AA103" i="30"/>
  <c r="Z103" i="30"/>
  <c r="Y103" i="30"/>
  <c r="X103" i="30"/>
  <c r="W103" i="30"/>
  <c r="V103" i="30"/>
  <c r="U103" i="30"/>
  <c r="T103" i="30"/>
  <c r="S103" i="30"/>
  <c r="R103" i="30"/>
  <c r="Q103" i="30"/>
  <c r="P103" i="30"/>
  <c r="O103" i="30"/>
  <c r="N103" i="30"/>
  <c r="M103" i="30"/>
  <c r="L103" i="30"/>
  <c r="K103" i="30"/>
  <c r="J103" i="30"/>
  <c r="I103" i="30"/>
  <c r="H103" i="30"/>
  <c r="G103" i="30"/>
  <c r="B103" i="30"/>
  <c r="AA101" i="30"/>
  <c r="Z101" i="30"/>
  <c r="Y101" i="30"/>
  <c r="X101" i="30"/>
  <c r="W101" i="30"/>
  <c r="V101" i="30"/>
  <c r="U101" i="30"/>
  <c r="T101" i="30"/>
  <c r="S101" i="30"/>
  <c r="R101" i="30"/>
  <c r="Q101" i="30"/>
  <c r="P101" i="30"/>
  <c r="O101" i="30"/>
  <c r="N101" i="30"/>
  <c r="M101" i="30"/>
  <c r="L101" i="30"/>
  <c r="K101" i="30"/>
  <c r="J101" i="30"/>
  <c r="I101" i="30"/>
  <c r="H101" i="30"/>
  <c r="G101" i="30"/>
  <c r="B101" i="30"/>
  <c r="AA99" i="30"/>
  <c r="Z99" i="30"/>
  <c r="Y99" i="30"/>
  <c r="X99" i="30"/>
  <c r="X82" i="30" s="1"/>
  <c r="W99" i="30"/>
  <c r="V99" i="30"/>
  <c r="U99" i="30"/>
  <c r="T99" i="30"/>
  <c r="S99" i="30"/>
  <c r="R99" i="30"/>
  <c r="Q99" i="30"/>
  <c r="P99" i="30"/>
  <c r="O99" i="30"/>
  <c r="N99" i="30"/>
  <c r="M99" i="30"/>
  <c r="L99" i="30"/>
  <c r="K99" i="30"/>
  <c r="K82" i="30" s="1"/>
  <c r="J99" i="30"/>
  <c r="I99" i="30"/>
  <c r="H99" i="30"/>
  <c r="G99" i="30"/>
  <c r="B99" i="30"/>
  <c r="AA97" i="30"/>
  <c r="Z97" i="30"/>
  <c r="Y97" i="30"/>
  <c r="X97" i="30"/>
  <c r="W97" i="30"/>
  <c r="V97" i="30"/>
  <c r="U97" i="30"/>
  <c r="T97" i="30"/>
  <c r="S97" i="30"/>
  <c r="R97" i="30"/>
  <c r="Q97" i="30"/>
  <c r="P97" i="30"/>
  <c r="O97" i="30"/>
  <c r="N97" i="30"/>
  <c r="M97" i="30"/>
  <c r="L97" i="30"/>
  <c r="K97" i="30"/>
  <c r="J97" i="30"/>
  <c r="I97" i="30"/>
  <c r="H97" i="30"/>
  <c r="G97" i="30"/>
  <c r="B97" i="30"/>
  <c r="AA95" i="30"/>
  <c r="Z95" i="30"/>
  <c r="Y95" i="30"/>
  <c r="X95" i="30"/>
  <c r="W95" i="30"/>
  <c r="V95" i="30"/>
  <c r="U95" i="30"/>
  <c r="T95" i="30"/>
  <c r="S95" i="30"/>
  <c r="R95" i="30"/>
  <c r="Q95" i="30"/>
  <c r="P95" i="30"/>
  <c r="O95" i="30"/>
  <c r="N95" i="30"/>
  <c r="M95" i="30"/>
  <c r="L95" i="30"/>
  <c r="K95" i="30"/>
  <c r="J95" i="30"/>
  <c r="I95" i="30"/>
  <c r="H95" i="30"/>
  <c r="G95" i="30"/>
  <c r="B95" i="30"/>
  <c r="AA93" i="30"/>
  <c r="Z93" i="30"/>
  <c r="Y93" i="30"/>
  <c r="X93" i="30"/>
  <c r="W93" i="30"/>
  <c r="V93" i="30"/>
  <c r="U93" i="30"/>
  <c r="U82" i="30" s="1"/>
  <c r="T93" i="30"/>
  <c r="S93" i="30"/>
  <c r="R93" i="30"/>
  <c r="Q93" i="30"/>
  <c r="P93" i="30"/>
  <c r="O93" i="30"/>
  <c r="N93" i="30"/>
  <c r="M93" i="30"/>
  <c r="M82" i="30" s="1"/>
  <c r="L93" i="30"/>
  <c r="K93" i="30"/>
  <c r="J93" i="30"/>
  <c r="I93" i="30"/>
  <c r="H93" i="30"/>
  <c r="G93" i="30"/>
  <c r="AA91" i="30"/>
  <c r="Z91" i="30"/>
  <c r="Y91" i="30"/>
  <c r="X91" i="30"/>
  <c r="W91" i="30"/>
  <c r="V91" i="30"/>
  <c r="U91" i="30"/>
  <c r="T91" i="30"/>
  <c r="S91" i="30"/>
  <c r="R91" i="30"/>
  <c r="Q91" i="30"/>
  <c r="P91" i="30"/>
  <c r="O91" i="30"/>
  <c r="N91" i="30"/>
  <c r="M91" i="30"/>
  <c r="L91" i="30"/>
  <c r="K91" i="30"/>
  <c r="J91" i="30"/>
  <c r="I91" i="30"/>
  <c r="H91" i="30"/>
  <c r="G91" i="30"/>
  <c r="AA89" i="30"/>
  <c r="Z89" i="30"/>
  <c r="Y89" i="30"/>
  <c r="X89" i="30"/>
  <c r="W89" i="30"/>
  <c r="V89" i="30"/>
  <c r="U89" i="30"/>
  <c r="T89" i="30"/>
  <c r="S89" i="30"/>
  <c r="R89" i="30"/>
  <c r="Q89" i="30"/>
  <c r="P89" i="30"/>
  <c r="O89" i="30"/>
  <c r="N89" i="30"/>
  <c r="M89" i="30"/>
  <c r="L89" i="30"/>
  <c r="K89" i="30"/>
  <c r="J89" i="30"/>
  <c r="I89" i="30"/>
  <c r="H89" i="30"/>
  <c r="G89" i="30"/>
  <c r="AA87" i="30"/>
  <c r="Z87" i="30"/>
  <c r="Y87" i="30"/>
  <c r="X87" i="30"/>
  <c r="W87" i="30"/>
  <c r="V87" i="30"/>
  <c r="U87" i="30"/>
  <c r="T87" i="30"/>
  <c r="T82" i="30" s="1"/>
  <c r="S87" i="30"/>
  <c r="R87" i="30"/>
  <c r="Q87" i="30"/>
  <c r="P87" i="30"/>
  <c r="O87" i="30"/>
  <c r="N87" i="30"/>
  <c r="M87" i="30"/>
  <c r="L87" i="30"/>
  <c r="L82" i="30" s="1"/>
  <c r="K87" i="30"/>
  <c r="J87" i="30"/>
  <c r="I87" i="30"/>
  <c r="H87" i="30"/>
  <c r="G87" i="30"/>
  <c r="AA85" i="30"/>
  <c r="Z85" i="30"/>
  <c r="Y85" i="30"/>
  <c r="X85" i="30"/>
  <c r="W85" i="30"/>
  <c r="V85" i="30"/>
  <c r="U85" i="30"/>
  <c r="T85" i="30"/>
  <c r="S85" i="30"/>
  <c r="R85" i="30"/>
  <c r="Q85" i="30"/>
  <c r="P85" i="30"/>
  <c r="O85" i="30"/>
  <c r="N85" i="30"/>
  <c r="M85" i="30"/>
  <c r="L85" i="30"/>
  <c r="K85" i="30"/>
  <c r="J85" i="30"/>
  <c r="I85" i="30"/>
  <c r="H85" i="30"/>
  <c r="G85" i="30"/>
  <c r="AA84" i="30"/>
  <c r="Z84" i="30"/>
  <c r="Y84" i="30"/>
  <c r="Y82" i="30" s="1"/>
  <c r="X84" i="30"/>
  <c r="W84" i="30"/>
  <c r="V84" i="30"/>
  <c r="V82" i="30" s="1"/>
  <c r="U84" i="30"/>
  <c r="T84" i="30"/>
  <c r="S84" i="30"/>
  <c r="S82" i="30" s="1"/>
  <c r="R84" i="30"/>
  <c r="Q84" i="30"/>
  <c r="Q82" i="30" s="1"/>
  <c r="P84" i="30"/>
  <c r="O84" i="30"/>
  <c r="N84" i="30"/>
  <c r="N82" i="30" s="1"/>
  <c r="M84" i="30"/>
  <c r="L84" i="30"/>
  <c r="K84" i="30"/>
  <c r="J84" i="30"/>
  <c r="I84" i="30"/>
  <c r="I82" i="30" s="1"/>
  <c r="H84" i="30"/>
  <c r="G84" i="30"/>
  <c r="AA82" i="30"/>
  <c r="H82" i="30"/>
  <c r="AA78" i="30"/>
  <c r="Z78" i="30"/>
  <c r="Y78" i="30"/>
  <c r="X78" i="30"/>
  <c r="W78" i="30"/>
  <c r="V78" i="30"/>
  <c r="U78" i="30"/>
  <c r="T78" i="30"/>
  <c r="S78" i="30"/>
  <c r="R78" i="30"/>
  <c r="Q78" i="30"/>
  <c r="P78" i="30"/>
  <c r="O78" i="30"/>
  <c r="N78" i="30"/>
  <c r="M78" i="30"/>
  <c r="L78" i="30"/>
  <c r="K78" i="30"/>
  <c r="J78" i="30"/>
  <c r="I78" i="30"/>
  <c r="H78" i="30"/>
  <c r="G78" i="30"/>
  <c r="B78" i="30"/>
  <c r="AA76" i="30"/>
  <c r="Z76" i="30"/>
  <c r="Y76" i="30"/>
  <c r="X76" i="30"/>
  <c r="W76" i="30"/>
  <c r="V76" i="30"/>
  <c r="U76" i="30"/>
  <c r="T76" i="30"/>
  <c r="S76" i="30"/>
  <c r="R76" i="30"/>
  <c r="Q76" i="30"/>
  <c r="P76" i="30"/>
  <c r="O76" i="30"/>
  <c r="N76" i="30"/>
  <c r="N54" i="30" s="1"/>
  <c r="M76" i="30"/>
  <c r="L76" i="30"/>
  <c r="K76" i="30"/>
  <c r="K54" i="30" s="1"/>
  <c r="K41" i="30" s="1"/>
  <c r="K42" i="30" s="1"/>
  <c r="J76" i="30"/>
  <c r="I76" i="30"/>
  <c r="H76" i="30"/>
  <c r="G76" i="30"/>
  <c r="B76" i="30"/>
  <c r="AA74" i="30"/>
  <c r="Z74" i="30"/>
  <c r="Y74" i="30"/>
  <c r="X74" i="30"/>
  <c r="W74" i="30"/>
  <c r="V74" i="30"/>
  <c r="U74" i="30"/>
  <c r="T74" i="30"/>
  <c r="S74" i="30"/>
  <c r="R74" i="30"/>
  <c r="Q74" i="30"/>
  <c r="P74" i="30"/>
  <c r="B74" i="30"/>
  <c r="AA72" i="30"/>
  <c r="Z72" i="30"/>
  <c r="Y72" i="30"/>
  <c r="X72" i="30"/>
  <c r="W72" i="30"/>
  <c r="V72" i="30"/>
  <c r="U72" i="30"/>
  <c r="T72" i="30"/>
  <c r="S72" i="30"/>
  <c r="R72" i="30"/>
  <c r="Q72" i="30"/>
  <c r="P72" i="30"/>
  <c r="B72" i="30"/>
  <c r="AA70" i="30"/>
  <c r="Z70" i="30"/>
  <c r="Y70" i="30"/>
  <c r="X70" i="30"/>
  <c r="W70" i="30"/>
  <c r="V70" i="30"/>
  <c r="U70" i="30"/>
  <c r="T70" i="30"/>
  <c r="S70" i="30"/>
  <c r="R70" i="30"/>
  <c r="Q70" i="30"/>
  <c r="B70" i="30"/>
  <c r="AA68" i="30"/>
  <c r="Z68" i="30"/>
  <c r="Y68" i="30"/>
  <c r="X68" i="30"/>
  <c r="W68" i="30"/>
  <c r="V68" i="30"/>
  <c r="U68" i="30"/>
  <c r="T68" i="30"/>
  <c r="S68" i="30"/>
  <c r="R68" i="30"/>
  <c r="Q68" i="30"/>
  <c r="P68" i="30"/>
  <c r="AA67" i="30"/>
  <c r="Z67" i="30"/>
  <c r="Y67" i="30"/>
  <c r="X67" i="30"/>
  <c r="W67" i="30"/>
  <c r="V67" i="30"/>
  <c r="U67" i="30"/>
  <c r="T67" i="30"/>
  <c r="S67" i="30"/>
  <c r="R67" i="30"/>
  <c r="Q67" i="30"/>
  <c r="P67" i="30"/>
  <c r="AA66" i="30"/>
  <c r="Z66" i="30"/>
  <c r="Y66" i="30"/>
  <c r="X66" i="30"/>
  <c r="W66" i="30"/>
  <c r="V66" i="30"/>
  <c r="U66" i="30"/>
  <c r="T66" i="30"/>
  <c r="S66" i="30"/>
  <c r="R66" i="30"/>
  <c r="Q66" i="30"/>
  <c r="AA65" i="30"/>
  <c r="Z65" i="30"/>
  <c r="Y65" i="30"/>
  <c r="X65" i="30"/>
  <c r="W65" i="30"/>
  <c r="V65" i="30"/>
  <c r="U65" i="30"/>
  <c r="T65" i="30"/>
  <c r="S65" i="30"/>
  <c r="R65" i="30"/>
  <c r="Q65" i="30"/>
  <c r="AA63" i="30"/>
  <c r="Z63" i="30"/>
  <c r="Y63" i="30"/>
  <c r="X63" i="30"/>
  <c r="W63" i="30"/>
  <c r="V63" i="30"/>
  <c r="U63" i="30"/>
  <c r="T63" i="30"/>
  <c r="S63" i="30"/>
  <c r="R63" i="30"/>
  <c r="Q63" i="30"/>
  <c r="P63" i="30"/>
  <c r="AA62" i="30"/>
  <c r="Z62" i="30"/>
  <c r="Y62" i="30"/>
  <c r="X62" i="30"/>
  <c r="W62" i="30"/>
  <c r="V62" i="30"/>
  <c r="U62" i="30"/>
  <c r="T62" i="30"/>
  <c r="S62" i="30"/>
  <c r="R62" i="30"/>
  <c r="Q62" i="30"/>
  <c r="P62" i="30"/>
  <c r="AA61" i="30"/>
  <c r="Z61" i="30"/>
  <c r="Y61" i="30"/>
  <c r="X61" i="30"/>
  <c r="W61" i="30"/>
  <c r="V61" i="30"/>
  <c r="U61" i="30"/>
  <c r="T61" i="30"/>
  <c r="S61" i="30"/>
  <c r="R61" i="30"/>
  <c r="Q61" i="30"/>
  <c r="AA60" i="30"/>
  <c r="Z60" i="30"/>
  <c r="Y60" i="30"/>
  <c r="X60" i="30"/>
  <c r="W60" i="30"/>
  <c r="V60" i="30"/>
  <c r="U60" i="30"/>
  <c r="T60" i="30"/>
  <c r="S60" i="30"/>
  <c r="R60" i="30"/>
  <c r="Q60" i="30"/>
  <c r="AA58" i="30"/>
  <c r="Z58" i="30"/>
  <c r="Y58" i="30"/>
  <c r="X58" i="30"/>
  <c r="W58" i="30"/>
  <c r="V58" i="30"/>
  <c r="U58" i="30"/>
  <c r="T58" i="30"/>
  <c r="S58" i="30"/>
  <c r="R58" i="30"/>
  <c r="Q58" i="30"/>
  <c r="P58" i="30"/>
  <c r="AA57" i="30"/>
  <c r="Z57" i="30"/>
  <c r="Y57" i="30"/>
  <c r="X57" i="30"/>
  <c r="W57" i="30"/>
  <c r="V57" i="30"/>
  <c r="U57" i="30"/>
  <c r="T57" i="30"/>
  <c r="S57" i="30"/>
  <c r="R57" i="30"/>
  <c r="Q57" i="30"/>
  <c r="P57" i="30"/>
  <c r="AA56" i="30"/>
  <c r="Z56" i="30"/>
  <c r="Y56" i="30"/>
  <c r="X56" i="30"/>
  <c r="W56" i="30"/>
  <c r="V56" i="30"/>
  <c r="U56" i="30"/>
  <c r="T56" i="30"/>
  <c r="S56" i="30"/>
  <c r="R56" i="30"/>
  <c r="Q56" i="30"/>
  <c r="P56" i="30"/>
  <c r="O54" i="30"/>
  <c r="M54" i="30"/>
  <c r="M41" i="30" s="1"/>
  <c r="L54" i="30"/>
  <c r="J54" i="30"/>
  <c r="I54" i="30"/>
  <c r="H54" i="30"/>
  <c r="H41" i="30" s="1"/>
  <c r="H42" i="30" s="1"/>
  <c r="G54" i="30"/>
  <c r="J48" i="30"/>
  <c r="N46" i="30"/>
  <c r="M46" i="30"/>
  <c r="L46" i="30"/>
  <c r="L48" i="30" s="1"/>
  <c r="K46" i="30"/>
  <c r="J46" i="30"/>
  <c r="I46" i="30"/>
  <c r="I48" i="30" s="1"/>
  <c r="H46" i="30"/>
  <c r="H48" i="30" s="1"/>
  <c r="G46" i="30"/>
  <c r="L43" i="30"/>
  <c r="L42" i="30"/>
  <c r="I42" i="30"/>
  <c r="N41" i="30"/>
  <c r="N42" i="30" s="1"/>
  <c r="L41" i="30"/>
  <c r="I41" i="30"/>
  <c r="K40" i="30"/>
  <c r="N39" i="30"/>
  <c r="M39" i="30"/>
  <c r="L39" i="30"/>
  <c r="L40" i="30" s="1"/>
  <c r="K39" i="30"/>
  <c r="I39" i="30"/>
  <c r="I40" i="30" s="1"/>
  <c r="H39" i="30"/>
  <c r="H40" i="30" s="1"/>
  <c r="G39" i="30"/>
  <c r="N38" i="30"/>
  <c r="N40" i="30" s="1"/>
  <c r="M38" i="30"/>
  <c r="L38" i="30"/>
  <c r="K38" i="30"/>
  <c r="K43" i="30" s="1"/>
  <c r="I38" i="30"/>
  <c r="I36" i="30" s="1"/>
  <c r="I43" i="30" s="1"/>
  <c r="H38" i="30"/>
  <c r="AA36" i="30"/>
  <c r="Z36" i="30"/>
  <c r="Y36" i="30"/>
  <c r="X36" i="30"/>
  <c r="W36" i="30"/>
  <c r="V36" i="30"/>
  <c r="U36" i="30"/>
  <c r="T36" i="30"/>
  <c r="S36" i="30"/>
  <c r="R36" i="30"/>
  <c r="Q36" i="30"/>
  <c r="P36" i="30"/>
  <c r="O36" i="30"/>
  <c r="N36" i="30"/>
  <c r="L36" i="30"/>
  <c r="K36" i="30"/>
  <c r="AA31" i="30"/>
  <c r="Z31" i="30"/>
  <c r="Y31" i="30"/>
  <c r="X31" i="30"/>
  <c r="W31" i="30"/>
  <c r="V31" i="30"/>
  <c r="U31" i="30"/>
  <c r="T31" i="30"/>
  <c r="S31" i="30"/>
  <c r="R31" i="30"/>
  <c r="Q31" i="30"/>
  <c r="P31" i="30"/>
  <c r="O31" i="30"/>
  <c r="N31" i="30"/>
  <c r="M31" i="30"/>
  <c r="L31" i="30"/>
  <c r="K31" i="30"/>
  <c r="J31" i="30"/>
  <c r="I31" i="30"/>
  <c r="H31" i="30"/>
  <c r="G31" i="30"/>
  <c r="AA30" i="30"/>
  <c r="Z30" i="30"/>
  <c r="Y30" i="30"/>
  <c r="X30" i="30"/>
  <c r="W30" i="30"/>
  <c r="V30" i="30"/>
  <c r="U30" i="30"/>
  <c r="T30" i="30"/>
  <c r="S30" i="30"/>
  <c r="R30" i="30"/>
  <c r="Q30" i="30"/>
  <c r="P30" i="30"/>
  <c r="O30" i="30"/>
  <c r="N30" i="30"/>
  <c r="AA29" i="30"/>
  <c r="Z29" i="30"/>
  <c r="Z26" i="30" s="1"/>
  <c r="Y29" i="30"/>
  <c r="X29" i="30"/>
  <c r="W29" i="30"/>
  <c r="V29" i="30"/>
  <c r="U29" i="30"/>
  <c r="T29" i="30"/>
  <c r="S29" i="30"/>
  <c r="R29" i="30"/>
  <c r="R26" i="30" s="1"/>
  <c r="Q29" i="30"/>
  <c r="P29" i="30"/>
  <c r="O29" i="30"/>
  <c r="O16" i="30" s="1"/>
  <c r="AA28" i="30"/>
  <c r="Z28" i="30"/>
  <c r="Y28" i="30"/>
  <c r="X28" i="30"/>
  <c r="W28" i="30"/>
  <c r="W26" i="30" s="1"/>
  <c r="V28" i="30"/>
  <c r="U28" i="30"/>
  <c r="T28" i="30"/>
  <c r="S28" i="30"/>
  <c r="R28" i="30"/>
  <c r="Q28" i="30"/>
  <c r="P28" i="30"/>
  <c r="O28" i="30"/>
  <c r="O26" i="30" s="1"/>
  <c r="N28" i="30"/>
  <c r="M28" i="30"/>
  <c r="L28" i="30"/>
  <c r="K28" i="30"/>
  <c r="J28" i="30"/>
  <c r="I28" i="30"/>
  <c r="H28" i="30"/>
  <c r="G28" i="30"/>
  <c r="AA27" i="30"/>
  <c r="Z27" i="30"/>
  <c r="Y27" i="30"/>
  <c r="Y26" i="30" s="1"/>
  <c r="X27" i="30"/>
  <c r="W27" i="30"/>
  <c r="V27" i="30"/>
  <c r="U27" i="30"/>
  <c r="T27" i="30"/>
  <c r="T26" i="30" s="1"/>
  <c r="S27" i="30"/>
  <c r="R27" i="30"/>
  <c r="Q27" i="30"/>
  <c r="P27" i="30"/>
  <c r="O27" i="30"/>
  <c r="N27" i="30"/>
  <c r="M27" i="30"/>
  <c r="L27" i="30"/>
  <c r="L26" i="30" s="1"/>
  <c r="L24" i="30" s="1"/>
  <c r="K27" i="30"/>
  <c r="J27" i="30"/>
  <c r="I27" i="30"/>
  <c r="I26" i="30" s="1"/>
  <c r="H27" i="30"/>
  <c r="G27" i="30"/>
  <c r="AA26" i="30"/>
  <c r="X26" i="30"/>
  <c r="V26" i="30"/>
  <c r="U26" i="30"/>
  <c r="S26" i="30"/>
  <c r="Q26" i="30"/>
  <c r="P26" i="30"/>
  <c r="N26" i="30"/>
  <c r="M26" i="30"/>
  <c r="K26" i="30"/>
  <c r="J26" i="30"/>
  <c r="H26" i="30"/>
  <c r="AA25" i="30"/>
  <c r="AA24" i="30" s="1"/>
  <c r="Z25" i="30"/>
  <c r="Y25" i="30"/>
  <c r="X25" i="30"/>
  <c r="X24" i="30" s="1"/>
  <c r="W25" i="30"/>
  <c r="V25" i="30"/>
  <c r="V24" i="30" s="1"/>
  <c r="U25" i="30"/>
  <c r="U24" i="30" s="1"/>
  <c r="T25" i="30"/>
  <c r="S25" i="30"/>
  <c r="S24" i="30" s="1"/>
  <c r="R25" i="30"/>
  <c r="Q25" i="30"/>
  <c r="P25" i="30"/>
  <c r="P24" i="30" s="1"/>
  <c r="O25" i="30"/>
  <c r="N25" i="30"/>
  <c r="N24" i="30" s="1"/>
  <c r="M25" i="30"/>
  <c r="L25" i="30"/>
  <c r="K25" i="30"/>
  <c r="J25" i="30"/>
  <c r="J24" i="30" s="1"/>
  <c r="I25" i="30"/>
  <c r="H25" i="30"/>
  <c r="G25" i="30"/>
  <c r="M24" i="30"/>
  <c r="K24" i="30"/>
  <c r="H24" i="30"/>
  <c r="N20" i="30"/>
  <c r="Q18" i="30"/>
  <c r="O18" i="30"/>
  <c r="P18" i="30" s="1"/>
  <c r="M18" i="30"/>
  <c r="L18" i="30" s="1"/>
  <c r="K18" i="30"/>
  <c r="J18" i="30" s="1"/>
  <c r="I18" i="30" s="1"/>
  <c r="H18" i="30" s="1"/>
  <c r="G18" i="30" s="1"/>
  <c r="P16" i="30"/>
  <c r="Q16" i="30" s="1"/>
  <c r="M16" i="30"/>
  <c r="L16" i="30" s="1"/>
  <c r="K16" i="30" s="1"/>
  <c r="J16" i="30"/>
  <c r="I16" i="30" s="1"/>
  <c r="H16" i="30" s="1"/>
  <c r="G16" i="30" s="1"/>
  <c r="N14" i="30"/>
  <c r="M14" i="30"/>
  <c r="L14" i="30" s="1"/>
  <c r="P12" i="30"/>
  <c r="Q12" i="30" s="1"/>
  <c r="N12" i="30"/>
  <c r="O12" i="30" s="1"/>
  <c r="M12" i="30"/>
  <c r="L12" i="30"/>
  <c r="N10" i="30"/>
  <c r="N17" i="30" s="1"/>
  <c r="N8" i="30"/>
  <c r="N344" i="29"/>
  <c r="G262" i="29"/>
  <c r="O200" i="29"/>
  <c r="G190" i="29"/>
  <c r="B125" i="29"/>
  <c r="AA125" i="29"/>
  <c r="Z125" i="29"/>
  <c r="Y125" i="29"/>
  <c r="X125" i="29"/>
  <c r="W125" i="29"/>
  <c r="V125" i="29"/>
  <c r="U125" i="29"/>
  <c r="T125" i="29"/>
  <c r="S125" i="29"/>
  <c r="R125" i="29"/>
  <c r="Q125" i="29"/>
  <c r="P125" i="29"/>
  <c r="O125" i="29"/>
  <c r="N125" i="29"/>
  <c r="M125" i="29"/>
  <c r="L125" i="29"/>
  <c r="K125" i="29"/>
  <c r="J125" i="29"/>
  <c r="I125" i="29"/>
  <c r="H125" i="29"/>
  <c r="G125" i="29"/>
  <c r="AA123" i="29"/>
  <c r="Z123" i="29"/>
  <c r="Y123" i="29"/>
  <c r="X123" i="29"/>
  <c r="W123" i="29"/>
  <c r="V123" i="29"/>
  <c r="U123" i="29"/>
  <c r="T123" i="29"/>
  <c r="S123" i="29"/>
  <c r="R123" i="29"/>
  <c r="Q123" i="29"/>
  <c r="P123" i="29"/>
  <c r="O123" i="29"/>
  <c r="N123" i="29"/>
  <c r="M123" i="29"/>
  <c r="L123" i="29"/>
  <c r="K123" i="29"/>
  <c r="J123" i="29"/>
  <c r="I123" i="29"/>
  <c r="H123" i="29"/>
  <c r="G123" i="29"/>
  <c r="B123" i="29"/>
  <c r="AA121" i="29"/>
  <c r="Z121" i="29"/>
  <c r="Y121" i="29"/>
  <c r="X121" i="29"/>
  <c r="W121" i="29"/>
  <c r="V121" i="29"/>
  <c r="U121" i="29"/>
  <c r="T121" i="29"/>
  <c r="S121" i="29"/>
  <c r="R121" i="29"/>
  <c r="Q121" i="29"/>
  <c r="P121" i="29"/>
  <c r="O121" i="29"/>
  <c r="N121" i="29"/>
  <c r="M121" i="29"/>
  <c r="L121" i="29"/>
  <c r="K121" i="29"/>
  <c r="J121" i="29"/>
  <c r="I121" i="29"/>
  <c r="H121" i="29"/>
  <c r="G121" i="29"/>
  <c r="B121" i="29"/>
  <c r="AA183" i="29"/>
  <c r="Z183" i="29"/>
  <c r="Y183" i="29"/>
  <c r="X183" i="29"/>
  <c r="W183" i="29"/>
  <c r="V183" i="29"/>
  <c r="U183" i="29"/>
  <c r="T183" i="29"/>
  <c r="S183" i="29"/>
  <c r="R183" i="29"/>
  <c r="Q183" i="29"/>
  <c r="P183" i="29"/>
  <c r="O183" i="29"/>
  <c r="N183" i="29"/>
  <c r="M183" i="29"/>
  <c r="L183" i="29"/>
  <c r="K183" i="29"/>
  <c r="J183" i="29"/>
  <c r="I183" i="29"/>
  <c r="H183" i="29"/>
  <c r="G183" i="29"/>
  <c r="AA181" i="29"/>
  <c r="Z181" i="29"/>
  <c r="Y181" i="29"/>
  <c r="X181" i="29"/>
  <c r="W181" i="29"/>
  <c r="V181" i="29"/>
  <c r="U181" i="29"/>
  <c r="T181" i="29"/>
  <c r="S181" i="29"/>
  <c r="R181" i="29"/>
  <c r="Q181" i="29"/>
  <c r="P181" i="29"/>
  <c r="O181" i="29"/>
  <c r="N181" i="29"/>
  <c r="M181" i="29"/>
  <c r="L181" i="29"/>
  <c r="K181" i="29"/>
  <c r="J181" i="29"/>
  <c r="I181" i="29"/>
  <c r="H181" i="29"/>
  <c r="G181" i="29"/>
  <c r="H179" i="29"/>
  <c r="I179" i="29"/>
  <c r="J179" i="29"/>
  <c r="K179" i="29"/>
  <c r="L179" i="29"/>
  <c r="M179" i="29"/>
  <c r="N179" i="29"/>
  <c r="O179" i="29"/>
  <c r="P179" i="29"/>
  <c r="Q179" i="29"/>
  <c r="R179" i="29"/>
  <c r="S179" i="29"/>
  <c r="S177" i="29" s="1"/>
  <c r="T179" i="29"/>
  <c r="U179" i="29"/>
  <c r="V179" i="29"/>
  <c r="W179" i="29"/>
  <c r="X179" i="29"/>
  <c r="Y179" i="29"/>
  <c r="Z179" i="29"/>
  <c r="AA179" i="29"/>
  <c r="AA177" i="29" s="1"/>
  <c r="G179" i="29"/>
  <c r="AA171" i="29"/>
  <c r="Z171" i="29"/>
  <c r="Y171" i="29"/>
  <c r="X171" i="29"/>
  <c r="W171" i="29"/>
  <c r="V171" i="29"/>
  <c r="U171" i="29"/>
  <c r="T171" i="29"/>
  <c r="S171" i="29"/>
  <c r="R171" i="29"/>
  <c r="Q171" i="29"/>
  <c r="P171" i="29"/>
  <c r="O171" i="29"/>
  <c r="N171" i="29"/>
  <c r="M171" i="29"/>
  <c r="L171" i="29"/>
  <c r="K171" i="29"/>
  <c r="J171" i="29"/>
  <c r="I171" i="29"/>
  <c r="H171" i="29"/>
  <c r="G171" i="29"/>
  <c r="G169" i="29" s="1"/>
  <c r="H173" i="29"/>
  <c r="I173" i="29"/>
  <c r="J173" i="29"/>
  <c r="K173" i="29"/>
  <c r="L173" i="29"/>
  <c r="M173" i="29"/>
  <c r="N173" i="29"/>
  <c r="O173" i="29"/>
  <c r="P173" i="29"/>
  <c r="Q173" i="29"/>
  <c r="R173" i="29"/>
  <c r="S173" i="29"/>
  <c r="T173" i="29"/>
  <c r="U173" i="29"/>
  <c r="V173" i="29"/>
  <c r="W173" i="29"/>
  <c r="X173" i="29"/>
  <c r="Y173" i="29"/>
  <c r="Z173" i="29"/>
  <c r="AA173" i="29"/>
  <c r="G173" i="29"/>
  <c r="AA163" i="29"/>
  <c r="AA151" i="29" s="1"/>
  <c r="Z163" i="29"/>
  <c r="Y163" i="29"/>
  <c r="X163" i="29"/>
  <c r="W163" i="29"/>
  <c r="V163" i="29"/>
  <c r="U163" i="29"/>
  <c r="T163" i="29"/>
  <c r="S163" i="29"/>
  <c r="R163" i="29"/>
  <c r="Q163" i="29"/>
  <c r="P163" i="29"/>
  <c r="O163" i="29"/>
  <c r="N163" i="29"/>
  <c r="M163" i="29"/>
  <c r="L163" i="29"/>
  <c r="K163" i="29"/>
  <c r="J163" i="29"/>
  <c r="I163" i="29"/>
  <c r="H163" i="29"/>
  <c r="G163" i="29"/>
  <c r="AA161" i="29"/>
  <c r="Z161" i="29"/>
  <c r="Y161" i="29"/>
  <c r="X161" i="29"/>
  <c r="W161" i="29"/>
  <c r="V161" i="29"/>
  <c r="U161" i="29"/>
  <c r="T161" i="29"/>
  <c r="S161" i="29"/>
  <c r="R161" i="29"/>
  <c r="Q161" i="29"/>
  <c r="P161" i="29"/>
  <c r="O161" i="29"/>
  <c r="N161" i="29"/>
  <c r="M161" i="29"/>
  <c r="L161" i="29"/>
  <c r="K161" i="29"/>
  <c r="J161" i="29"/>
  <c r="I161" i="29"/>
  <c r="H161" i="29"/>
  <c r="G161" i="29"/>
  <c r="AA159" i="29"/>
  <c r="Z159" i="29"/>
  <c r="Y159" i="29"/>
  <c r="X159" i="29"/>
  <c r="W159" i="29"/>
  <c r="V159" i="29"/>
  <c r="U159" i="29"/>
  <c r="T159" i="29"/>
  <c r="S159" i="29"/>
  <c r="R159" i="29"/>
  <c r="Q159" i="29"/>
  <c r="P159" i="29"/>
  <c r="O159" i="29"/>
  <c r="N159" i="29"/>
  <c r="M159" i="29"/>
  <c r="L159" i="29"/>
  <c r="K159" i="29"/>
  <c r="J159" i="29"/>
  <c r="I159" i="29"/>
  <c r="H159" i="29"/>
  <c r="G159" i="29"/>
  <c r="AA157" i="29"/>
  <c r="Z157" i="29"/>
  <c r="Y157" i="29"/>
  <c r="X157" i="29"/>
  <c r="W157" i="29"/>
  <c r="V157" i="29"/>
  <c r="U157" i="29"/>
  <c r="T157" i="29"/>
  <c r="S157" i="29"/>
  <c r="R157" i="29"/>
  <c r="Q157" i="29"/>
  <c r="P157" i="29"/>
  <c r="O157" i="29"/>
  <c r="N157" i="29"/>
  <c r="M157" i="29"/>
  <c r="L157" i="29"/>
  <c r="K157" i="29"/>
  <c r="J157" i="29"/>
  <c r="I157" i="29"/>
  <c r="H157" i="29"/>
  <c r="G157" i="29"/>
  <c r="AA155" i="29"/>
  <c r="Z155" i="29"/>
  <c r="Y155" i="29"/>
  <c r="X155" i="29"/>
  <c r="W155" i="29"/>
  <c r="V155" i="29"/>
  <c r="U155" i="29"/>
  <c r="T155" i="29"/>
  <c r="S155" i="29"/>
  <c r="R155" i="29"/>
  <c r="Q155" i="29"/>
  <c r="P155" i="29"/>
  <c r="O155" i="29"/>
  <c r="N155" i="29"/>
  <c r="M155" i="29"/>
  <c r="L155" i="29"/>
  <c r="K155" i="29"/>
  <c r="J155" i="29"/>
  <c r="I155" i="29"/>
  <c r="H155" i="29"/>
  <c r="G155" i="29"/>
  <c r="AA153" i="29"/>
  <c r="Z153" i="29"/>
  <c r="Y153" i="29"/>
  <c r="X153" i="29"/>
  <c r="W153" i="29"/>
  <c r="V153" i="29"/>
  <c r="U153" i="29"/>
  <c r="T153" i="29"/>
  <c r="S153" i="29"/>
  <c r="R153" i="29"/>
  <c r="Q153" i="29"/>
  <c r="P153" i="29"/>
  <c r="O153" i="29"/>
  <c r="N153" i="29"/>
  <c r="M153" i="29"/>
  <c r="L153" i="29"/>
  <c r="K153" i="29"/>
  <c r="J153" i="29"/>
  <c r="I153" i="29"/>
  <c r="H153" i="29"/>
  <c r="G153" i="29"/>
  <c r="AA165" i="29"/>
  <c r="Z165" i="29"/>
  <c r="Y165" i="29"/>
  <c r="X165" i="29"/>
  <c r="W165" i="29"/>
  <c r="V165" i="29"/>
  <c r="U165" i="29"/>
  <c r="T165" i="29"/>
  <c r="S165" i="29"/>
  <c r="R165" i="29"/>
  <c r="Q165" i="29"/>
  <c r="P165" i="29"/>
  <c r="O165" i="29"/>
  <c r="N165" i="29"/>
  <c r="M165" i="29"/>
  <c r="L165" i="29"/>
  <c r="K165" i="29"/>
  <c r="J165" i="29"/>
  <c r="I165" i="29"/>
  <c r="H165" i="29"/>
  <c r="G165" i="29"/>
  <c r="AA147" i="29"/>
  <c r="Z147" i="29"/>
  <c r="Y147" i="29"/>
  <c r="X147" i="29"/>
  <c r="W147" i="29"/>
  <c r="V147" i="29"/>
  <c r="U147" i="29"/>
  <c r="T147" i="29"/>
  <c r="S147" i="29"/>
  <c r="R147" i="29"/>
  <c r="Q147" i="29"/>
  <c r="P147" i="29"/>
  <c r="O147" i="29"/>
  <c r="N147" i="29"/>
  <c r="M147" i="29"/>
  <c r="L147" i="29"/>
  <c r="K147" i="29"/>
  <c r="J147" i="29"/>
  <c r="I147" i="29"/>
  <c r="H147" i="29"/>
  <c r="G147" i="29"/>
  <c r="AA145" i="29"/>
  <c r="Z145" i="29"/>
  <c r="Y145" i="29"/>
  <c r="X145" i="29"/>
  <c r="W145" i="29"/>
  <c r="V145" i="29"/>
  <c r="U145" i="29"/>
  <c r="T145" i="29"/>
  <c r="S145" i="29"/>
  <c r="R145" i="29"/>
  <c r="Q145" i="29"/>
  <c r="P145" i="29"/>
  <c r="O145" i="29"/>
  <c r="N145" i="29"/>
  <c r="M145" i="29"/>
  <c r="L145" i="29"/>
  <c r="K145" i="29"/>
  <c r="J145" i="29"/>
  <c r="I145" i="29"/>
  <c r="H145" i="29"/>
  <c r="G145" i="29"/>
  <c r="AA143" i="29"/>
  <c r="Z143" i="29"/>
  <c r="Y143" i="29"/>
  <c r="X143" i="29"/>
  <c r="W143" i="29"/>
  <c r="V143" i="29"/>
  <c r="U143" i="29"/>
  <c r="T143" i="29"/>
  <c r="S143" i="29"/>
  <c r="R143" i="29"/>
  <c r="Q143" i="29"/>
  <c r="P143" i="29"/>
  <c r="O143" i="29"/>
  <c r="N143" i="29"/>
  <c r="M143" i="29"/>
  <c r="L143" i="29"/>
  <c r="K143" i="29"/>
  <c r="J143" i="29"/>
  <c r="I143" i="29"/>
  <c r="H143" i="29"/>
  <c r="G143" i="29"/>
  <c r="AA141" i="29"/>
  <c r="Z141" i="29"/>
  <c r="Y141" i="29"/>
  <c r="X141" i="29"/>
  <c r="W141" i="29"/>
  <c r="V141" i="29"/>
  <c r="U141" i="29"/>
  <c r="T141" i="29"/>
  <c r="S141" i="29"/>
  <c r="R141" i="29"/>
  <c r="Q141" i="29"/>
  <c r="P141" i="29"/>
  <c r="O141" i="29"/>
  <c r="N141" i="29"/>
  <c r="M141" i="29"/>
  <c r="L141" i="29"/>
  <c r="K141" i="29"/>
  <c r="J141" i="29"/>
  <c r="I141" i="29"/>
  <c r="H141" i="29"/>
  <c r="G141" i="29"/>
  <c r="AA140" i="29"/>
  <c r="Z140" i="29"/>
  <c r="Y140" i="29"/>
  <c r="X140" i="29"/>
  <c r="W140" i="29"/>
  <c r="V140" i="29"/>
  <c r="U140" i="29"/>
  <c r="T140" i="29"/>
  <c r="S140" i="29"/>
  <c r="R140" i="29"/>
  <c r="Q140" i="29"/>
  <c r="P140" i="29"/>
  <c r="O140" i="29"/>
  <c r="N140" i="29"/>
  <c r="M140" i="29"/>
  <c r="L140" i="29"/>
  <c r="K140" i="29"/>
  <c r="J140" i="29"/>
  <c r="I140" i="29"/>
  <c r="H140" i="29"/>
  <c r="G140" i="29"/>
  <c r="AA138" i="29"/>
  <c r="Z138" i="29"/>
  <c r="Y138" i="29"/>
  <c r="X138" i="29"/>
  <c r="W138" i="29"/>
  <c r="V138" i="29"/>
  <c r="U138" i="29"/>
  <c r="T138" i="29"/>
  <c r="S138" i="29"/>
  <c r="R138" i="29"/>
  <c r="Q138" i="29"/>
  <c r="P138" i="29"/>
  <c r="O138" i="29"/>
  <c r="N138" i="29"/>
  <c r="M138" i="29"/>
  <c r="L138" i="29"/>
  <c r="K138" i="29"/>
  <c r="J138" i="29"/>
  <c r="I138" i="29"/>
  <c r="H138" i="29"/>
  <c r="G138" i="29"/>
  <c r="AA136" i="29"/>
  <c r="Z136" i="29"/>
  <c r="Y136" i="29"/>
  <c r="X136" i="29"/>
  <c r="W136" i="29"/>
  <c r="V136" i="29"/>
  <c r="U136" i="29"/>
  <c r="T136" i="29"/>
  <c r="S136" i="29"/>
  <c r="R136" i="29"/>
  <c r="Q136" i="29"/>
  <c r="P136" i="29"/>
  <c r="O136" i="29"/>
  <c r="N136" i="29"/>
  <c r="M136" i="29"/>
  <c r="L136" i="29"/>
  <c r="K136" i="29"/>
  <c r="J136" i="29"/>
  <c r="I136" i="29"/>
  <c r="H136" i="29"/>
  <c r="G136" i="29"/>
  <c r="AA134" i="29"/>
  <c r="Z134" i="29"/>
  <c r="Y134" i="29"/>
  <c r="X134" i="29"/>
  <c r="W134" i="29"/>
  <c r="V134" i="29"/>
  <c r="U134" i="29"/>
  <c r="T134" i="29"/>
  <c r="S134" i="29"/>
  <c r="R134" i="29"/>
  <c r="Q134" i="29"/>
  <c r="P134" i="29"/>
  <c r="O134" i="29"/>
  <c r="N134" i="29"/>
  <c r="M134" i="29"/>
  <c r="L134" i="29"/>
  <c r="K134" i="29"/>
  <c r="J134" i="29"/>
  <c r="I134" i="29"/>
  <c r="H134" i="29"/>
  <c r="G134" i="29"/>
  <c r="AA127" i="29"/>
  <c r="Z127" i="29"/>
  <c r="Y127" i="29"/>
  <c r="X127" i="29"/>
  <c r="W127" i="29"/>
  <c r="V127" i="29"/>
  <c r="U127" i="29"/>
  <c r="T127" i="29"/>
  <c r="S127" i="29"/>
  <c r="R127" i="29"/>
  <c r="Q127" i="29"/>
  <c r="P127" i="29"/>
  <c r="O127" i="29"/>
  <c r="N127" i="29"/>
  <c r="M127" i="29"/>
  <c r="L127" i="29"/>
  <c r="K127" i="29"/>
  <c r="J127" i="29"/>
  <c r="I127" i="29"/>
  <c r="H127" i="29"/>
  <c r="G127" i="29"/>
  <c r="AA119" i="29"/>
  <c r="Z119" i="29"/>
  <c r="Y119" i="29"/>
  <c r="X119" i="29"/>
  <c r="W119" i="29"/>
  <c r="V119" i="29"/>
  <c r="U119" i="29"/>
  <c r="T119" i="29"/>
  <c r="S119" i="29"/>
  <c r="R119" i="29"/>
  <c r="Q119" i="29"/>
  <c r="P119" i="29"/>
  <c r="O119" i="29"/>
  <c r="N119" i="29"/>
  <c r="M119" i="29"/>
  <c r="L119" i="29"/>
  <c r="K119" i="29"/>
  <c r="J119" i="29"/>
  <c r="I119" i="29"/>
  <c r="H119" i="29"/>
  <c r="G119" i="29"/>
  <c r="AA117" i="29"/>
  <c r="Z117" i="29"/>
  <c r="Y117" i="29"/>
  <c r="X117" i="29"/>
  <c r="W117" i="29"/>
  <c r="V117" i="29"/>
  <c r="U117" i="29"/>
  <c r="T117" i="29"/>
  <c r="S117" i="29"/>
  <c r="R117" i="29"/>
  <c r="Q117" i="29"/>
  <c r="P117" i="29"/>
  <c r="O117" i="29"/>
  <c r="N117" i="29"/>
  <c r="M117" i="29"/>
  <c r="L117" i="29"/>
  <c r="K117" i="29"/>
  <c r="J117" i="29"/>
  <c r="I117" i="29"/>
  <c r="H117" i="29"/>
  <c r="G117" i="29"/>
  <c r="Y115" i="29"/>
  <c r="X115" i="29"/>
  <c r="W115" i="29"/>
  <c r="V115" i="29"/>
  <c r="U115" i="29"/>
  <c r="T115" i="29"/>
  <c r="S115" i="29"/>
  <c r="R115" i="29"/>
  <c r="Q115" i="29"/>
  <c r="P115" i="29"/>
  <c r="O115" i="29"/>
  <c r="N115" i="29"/>
  <c r="M115" i="29"/>
  <c r="L115" i="29"/>
  <c r="K115" i="29"/>
  <c r="J115" i="29"/>
  <c r="I115" i="29"/>
  <c r="H115" i="29"/>
  <c r="G115" i="29"/>
  <c r="AA113" i="29"/>
  <c r="Z113" i="29"/>
  <c r="Y113" i="29"/>
  <c r="X113" i="29"/>
  <c r="W113" i="29"/>
  <c r="V113" i="29"/>
  <c r="U113" i="29"/>
  <c r="T113" i="29"/>
  <c r="S113" i="29"/>
  <c r="R113" i="29"/>
  <c r="Q113" i="29"/>
  <c r="P113" i="29"/>
  <c r="O113" i="29"/>
  <c r="N113" i="29"/>
  <c r="M113" i="29"/>
  <c r="L113" i="29"/>
  <c r="K113" i="29"/>
  <c r="J113" i="29"/>
  <c r="I113" i="29"/>
  <c r="H113" i="29"/>
  <c r="G113" i="29"/>
  <c r="AA111" i="29"/>
  <c r="Z111" i="29"/>
  <c r="Y111" i="29"/>
  <c r="X111" i="29"/>
  <c r="W111" i="29"/>
  <c r="V111" i="29"/>
  <c r="U111" i="29"/>
  <c r="T111" i="29"/>
  <c r="S111" i="29"/>
  <c r="R111" i="29"/>
  <c r="Q111" i="29"/>
  <c r="P111" i="29"/>
  <c r="O111" i="29"/>
  <c r="N111" i="29"/>
  <c r="M111" i="29"/>
  <c r="L111" i="29"/>
  <c r="K111" i="29"/>
  <c r="J111" i="29"/>
  <c r="I111" i="29"/>
  <c r="H111" i="29"/>
  <c r="G111" i="29"/>
  <c r="AA109" i="29"/>
  <c r="Z109" i="29"/>
  <c r="Y109" i="29"/>
  <c r="X109" i="29"/>
  <c r="W109" i="29"/>
  <c r="V109" i="29"/>
  <c r="U109" i="29"/>
  <c r="T109" i="29"/>
  <c r="S109" i="29"/>
  <c r="R109" i="29"/>
  <c r="Q109" i="29"/>
  <c r="P109" i="29"/>
  <c r="O109" i="29"/>
  <c r="N109" i="29"/>
  <c r="M109" i="29"/>
  <c r="L109" i="29"/>
  <c r="K109" i="29"/>
  <c r="J109" i="29"/>
  <c r="I109" i="29"/>
  <c r="H109" i="29"/>
  <c r="G109" i="29"/>
  <c r="AA107" i="29"/>
  <c r="Z107" i="29"/>
  <c r="Y107" i="29"/>
  <c r="X107" i="29"/>
  <c r="W107" i="29"/>
  <c r="V107" i="29"/>
  <c r="U107" i="29"/>
  <c r="T107" i="29"/>
  <c r="S107" i="29"/>
  <c r="R107" i="29"/>
  <c r="Q107" i="29"/>
  <c r="P107" i="29"/>
  <c r="O107" i="29"/>
  <c r="N107" i="29"/>
  <c r="M107" i="29"/>
  <c r="L107" i="29"/>
  <c r="K107" i="29"/>
  <c r="J107" i="29"/>
  <c r="I107" i="29"/>
  <c r="H107" i="29"/>
  <c r="G107" i="29"/>
  <c r="AA105" i="29"/>
  <c r="Z105" i="29"/>
  <c r="Y105" i="29"/>
  <c r="X105" i="29"/>
  <c r="W105" i="29"/>
  <c r="V105" i="29"/>
  <c r="U105" i="29"/>
  <c r="T105" i="29"/>
  <c r="S105" i="29"/>
  <c r="R105" i="29"/>
  <c r="Q105" i="29"/>
  <c r="P105" i="29"/>
  <c r="O105" i="29"/>
  <c r="N105" i="29"/>
  <c r="M105" i="29"/>
  <c r="L105" i="29"/>
  <c r="K105" i="29"/>
  <c r="J105" i="29"/>
  <c r="I105" i="29"/>
  <c r="H105" i="29"/>
  <c r="G105" i="29"/>
  <c r="AA103" i="29"/>
  <c r="Z103" i="29"/>
  <c r="Y103" i="29"/>
  <c r="X103" i="29"/>
  <c r="W103" i="29"/>
  <c r="V103" i="29"/>
  <c r="U103" i="29"/>
  <c r="T103" i="29"/>
  <c r="S103" i="29"/>
  <c r="R103" i="29"/>
  <c r="Q103" i="29"/>
  <c r="P103" i="29"/>
  <c r="O103" i="29"/>
  <c r="N103" i="29"/>
  <c r="M103" i="29"/>
  <c r="L103" i="29"/>
  <c r="K103" i="29"/>
  <c r="J103" i="29"/>
  <c r="I103" i="29"/>
  <c r="H103" i="29"/>
  <c r="G103" i="29"/>
  <c r="AA101" i="29"/>
  <c r="Z101" i="29"/>
  <c r="Y101" i="29"/>
  <c r="X101" i="29"/>
  <c r="W101" i="29"/>
  <c r="V101" i="29"/>
  <c r="U101" i="29"/>
  <c r="T101" i="29"/>
  <c r="S101" i="29"/>
  <c r="R101" i="29"/>
  <c r="Q101" i="29"/>
  <c r="P101" i="29"/>
  <c r="O101" i="29"/>
  <c r="N101" i="29"/>
  <c r="M101" i="29"/>
  <c r="L101" i="29"/>
  <c r="K101" i="29"/>
  <c r="J101" i="29"/>
  <c r="I101" i="29"/>
  <c r="H101" i="29"/>
  <c r="G101" i="29"/>
  <c r="AA99" i="29"/>
  <c r="Z99" i="29"/>
  <c r="Y99" i="29"/>
  <c r="X99" i="29"/>
  <c r="W99" i="29"/>
  <c r="V99" i="29"/>
  <c r="U99" i="29"/>
  <c r="T99" i="29"/>
  <c r="S99" i="29"/>
  <c r="R99" i="29"/>
  <c r="Q99" i="29"/>
  <c r="P99" i="29"/>
  <c r="O99" i="29"/>
  <c r="N99" i="29"/>
  <c r="M99" i="29"/>
  <c r="L99" i="29"/>
  <c r="K99" i="29"/>
  <c r="J99" i="29"/>
  <c r="I99" i="29"/>
  <c r="H99" i="29"/>
  <c r="G99" i="29"/>
  <c r="AA97" i="29"/>
  <c r="Z97" i="29"/>
  <c r="Y97" i="29"/>
  <c r="X97" i="29"/>
  <c r="W97" i="29"/>
  <c r="V97" i="29"/>
  <c r="U97" i="29"/>
  <c r="T97" i="29"/>
  <c r="S97" i="29"/>
  <c r="R97" i="29"/>
  <c r="Q97" i="29"/>
  <c r="P97" i="29"/>
  <c r="O97" i="29"/>
  <c r="N97" i="29"/>
  <c r="M97" i="29"/>
  <c r="L97" i="29"/>
  <c r="K97" i="29"/>
  <c r="J97" i="29"/>
  <c r="I97" i="29"/>
  <c r="H97" i="29"/>
  <c r="G97" i="29"/>
  <c r="AA95" i="29"/>
  <c r="Z95" i="29"/>
  <c r="Y95" i="29"/>
  <c r="X95" i="29"/>
  <c r="W95" i="29"/>
  <c r="V95" i="29"/>
  <c r="U95" i="29"/>
  <c r="T95" i="29"/>
  <c r="S95" i="29"/>
  <c r="R95" i="29"/>
  <c r="Q95" i="29"/>
  <c r="P95" i="29"/>
  <c r="O95" i="29"/>
  <c r="N95" i="29"/>
  <c r="M95" i="29"/>
  <c r="L95" i="29"/>
  <c r="K95" i="29"/>
  <c r="J95" i="29"/>
  <c r="I95" i="29"/>
  <c r="H95" i="29"/>
  <c r="G95" i="29"/>
  <c r="AA93" i="29"/>
  <c r="Z93" i="29"/>
  <c r="Y93" i="29"/>
  <c r="X93" i="29"/>
  <c r="W93" i="29"/>
  <c r="V93" i="29"/>
  <c r="U93" i="29"/>
  <c r="T93" i="29"/>
  <c r="S93" i="29"/>
  <c r="R93" i="29"/>
  <c r="Q93" i="29"/>
  <c r="P93" i="29"/>
  <c r="O93" i="29"/>
  <c r="N93" i="29"/>
  <c r="M93" i="29"/>
  <c r="L93" i="29"/>
  <c r="K93" i="29"/>
  <c r="J93" i="29"/>
  <c r="I93" i="29"/>
  <c r="H93" i="29"/>
  <c r="G93" i="29"/>
  <c r="AA91" i="29"/>
  <c r="Z91" i="29"/>
  <c r="Y91" i="29"/>
  <c r="X91" i="29"/>
  <c r="W91" i="29"/>
  <c r="V91" i="29"/>
  <c r="U91" i="29"/>
  <c r="T91" i="29"/>
  <c r="S91" i="29"/>
  <c r="R91" i="29"/>
  <c r="Q91" i="29"/>
  <c r="P91" i="29"/>
  <c r="O91" i="29"/>
  <c r="N91" i="29"/>
  <c r="M91" i="29"/>
  <c r="L91" i="29"/>
  <c r="K91" i="29"/>
  <c r="J91" i="29"/>
  <c r="I91" i="29"/>
  <c r="H91" i="29"/>
  <c r="G91" i="29"/>
  <c r="AA89" i="29"/>
  <c r="Z89" i="29"/>
  <c r="Y89" i="29"/>
  <c r="X89" i="29"/>
  <c r="W89" i="29"/>
  <c r="V89" i="29"/>
  <c r="U89" i="29"/>
  <c r="T89" i="29"/>
  <c r="S89" i="29"/>
  <c r="R89" i="29"/>
  <c r="Q89" i="29"/>
  <c r="P89" i="29"/>
  <c r="O89" i="29"/>
  <c r="N89" i="29"/>
  <c r="M89" i="29"/>
  <c r="L89" i="29"/>
  <c r="K89" i="29"/>
  <c r="J89" i="29"/>
  <c r="I89" i="29"/>
  <c r="H89" i="29"/>
  <c r="G89" i="29"/>
  <c r="AA87" i="29"/>
  <c r="Z87" i="29"/>
  <c r="Y87" i="29"/>
  <c r="X87" i="29"/>
  <c r="W87" i="29"/>
  <c r="V87" i="29"/>
  <c r="U87" i="29"/>
  <c r="T87" i="29"/>
  <c r="S87" i="29"/>
  <c r="R87" i="29"/>
  <c r="Q87" i="29"/>
  <c r="P87" i="29"/>
  <c r="O87" i="29"/>
  <c r="N87" i="29"/>
  <c r="M87" i="29"/>
  <c r="L87" i="29"/>
  <c r="K87" i="29"/>
  <c r="J87" i="29"/>
  <c r="I87" i="29"/>
  <c r="H87" i="29"/>
  <c r="G87" i="29"/>
  <c r="AA85" i="29"/>
  <c r="Z85" i="29"/>
  <c r="Y85" i="29"/>
  <c r="X85" i="29"/>
  <c r="W85" i="29"/>
  <c r="V85" i="29"/>
  <c r="U85" i="29"/>
  <c r="T85" i="29"/>
  <c r="S85" i="29"/>
  <c r="R85" i="29"/>
  <c r="Q85" i="29"/>
  <c r="P85" i="29"/>
  <c r="O85" i="29"/>
  <c r="N85" i="29"/>
  <c r="M85" i="29"/>
  <c r="L85" i="29"/>
  <c r="K85" i="29"/>
  <c r="J85" i="29"/>
  <c r="I85" i="29"/>
  <c r="H85" i="29"/>
  <c r="G85" i="29"/>
  <c r="AA84" i="29"/>
  <c r="Z84" i="29"/>
  <c r="Y84" i="29"/>
  <c r="X84" i="29"/>
  <c r="W84" i="29"/>
  <c r="V84" i="29"/>
  <c r="U84" i="29"/>
  <c r="T84" i="29"/>
  <c r="S84" i="29"/>
  <c r="R84" i="29"/>
  <c r="Q84" i="29"/>
  <c r="P84" i="29"/>
  <c r="O84" i="29"/>
  <c r="N84" i="29"/>
  <c r="M84" i="29"/>
  <c r="L84" i="29"/>
  <c r="K84" i="29"/>
  <c r="J84" i="29"/>
  <c r="I84" i="29"/>
  <c r="H84" i="29"/>
  <c r="G84" i="29"/>
  <c r="AA76" i="29"/>
  <c r="Z76" i="29"/>
  <c r="Y76" i="29"/>
  <c r="X76" i="29"/>
  <c r="W76" i="29"/>
  <c r="V76" i="29"/>
  <c r="U76" i="29"/>
  <c r="T76" i="29"/>
  <c r="S76" i="29"/>
  <c r="R76" i="29"/>
  <c r="Q76" i="29"/>
  <c r="P76" i="29"/>
  <c r="O76" i="29"/>
  <c r="N76" i="29"/>
  <c r="M76" i="29"/>
  <c r="L76" i="29"/>
  <c r="K76" i="29"/>
  <c r="J76" i="29"/>
  <c r="I76" i="29"/>
  <c r="H76" i="29"/>
  <c r="G76" i="29"/>
  <c r="B76" i="29"/>
  <c r="P78" i="29"/>
  <c r="G78" i="29"/>
  <c r="H78" i="29"/>
  <c r="I78" i="29"/>
  <c r="J78" i="29"/>
  <c r="K78" i="29"/>
  <c r="L78" i="29"/>
  <c r="N78" i="29"/>
  <c r="O78" i="29"/>
  <c r="M78" i="29"/>
  <c r="M54" i="29" s="1"/>
  <c r="N8" i="29"/>
  <c r="M16" i="29"/>
  <c r="L16" i="29" s="1"/>
  <c r="K16" i="29" s="1"/>
  <c r="J16" i="29" s="1"/>
  <c r="I16" i="29" s="1"/>
  <c r="H16" i="29" s="1"/>
  <c r="G16" i="29" s="1"/>
  <c r="N12" i="29"/>
  <c r="N20" i="29"/>
  <c r="N14" i="29"/>
  <c r="G31" i="29"/>
  <c r="H31" i="29"/>
  <c r="I31" i="29"/>
  <c r="J31" i="29"/>
  <c r="K31" i="29"/>
  <c r="L31" i="29"/>
  <c r="M31" i="29"/>
  <c r="N31" i="29"/>
  <c r="H28" i="29"/>
  <c r="I28" i="29"/>
  <c r="J28" i="29"/>
  <c r="K28" i="29"/>
  <c r="L28" i="29"/>
  <c r="M28" i="29"/>
  <c r="N28" i="29"/>
  <c r="G28" i="29"/>
  <c r="H27" i="29"/>
  <c r="I27" i="29"/>
  <c r="J27" i="29"/>
  <c r="K27" i="29"/>
  <c r="L27" i="29"/>
  <c r="M27" i="29"/>
  <c r="N27" i="29"/>
  <c r="G27" i="29"/>
  <c r="N25" i="29"/>
  <c r="H25" i="29"/>
  <c r="I25" i="29"/>
  <c r="J25" i="29"/>
  <c r="K25" i="29"/>
  <c r="L25" i="29"/>
  <c r="M25" i="29"/>
  <c r="G25" i="29"/>
  <c r="T255" i="30" l="1"/>
  <c r="U255" i="30" s="1"/>
  <c r="S257" i="30"/>
  <c r="S254" i="30"/>
  <c r="T256" i="30"/>
  <c r="R190" i="30"/>
  <c r="W54" i="30"/>
  <c r="U54" i="30"/>
  <c r="X54" i="30"/>
  <c r="V54" i="30"/>
  <c r="T24" i="30"/>
  <c r="O24" i="30"/>
  <c r="W24" i="30"/>
  <c r="R24" i="30"/>
  <c r="Z24" i="30"/>
  <c r="P54" i="30"/>
  <c r="P41" i="30" s="1"/>
  <c r="Y24" i="30"/>
  <c r="R12" i="30"/>
  <c r="U198" i="30"/>
  <c r="V198" i="30" s="1"/>
  <c r="W198" i="30" s="1"/>
  <c r="M36" i="30"/>
  <c r="M43" i="30"/>
  <c r="M42" i="30"/>
  <c r="M8" i="30"/>
  <c r="S54" i="30"/>
  <c r="AA54" i="30"/>
  <c r="Q54" i="30"/>
  <c r="Y54" i="30"/>
  <c r="G82" i="30"/>
  <c r="O82" i="30"/>
  <c r="O39" i="30" s="1"/>
  <c r="W82" i="30"/>
  <c r="J82" i="30"/>
  <c r="R82" i="30"/>
  <c r="Z82" i="30"/>
  <c r="M132" i="30"/>
  <c r="U132" i="30"/>
  <c r="O8" i="30"/>
  <c r="N13" i="30"/>
  <c r="M40" i="30"/>
  <c r="T54" i="30"/>
  <c r="L177" i="30"/>
  <c r="T177" i="30"/>
  <c r="R18" i="30"/>
  <c r="K48" i="30"/>
  <c r="P151" i="30"/>
  <c r="R16" i="30"/>
  <c r="J38" i="30"/>
  <c r="J40" i="30" s="1"/>
  <c r="G177" i="30"/>
  <c r="Q190" i="30"/>
  <c r="K12" i="30"/>
  <c r="N11" i="30"/>
  <c r="K14" i="30"/>
  <c r="J14" i="30" s="1"/>
  <c r="I14" i="30" s="1"/>
  <c r="H14" i="30" s="1"/>
  <c r="G14" i="30" s="1"/>
  <c r="I24" i="30"/>
  <c r="Q24" i="30"/>
  <c r="N48" i="30"/>
  <c r="R54" i="30"/>
  <c r="Z54" i="30"/>
  <c r="J151" i="30"/>
  <c r="R151" i="30"/>
  <c r="G38" i="30"/>
  <c r="G41" i="30"/>
  <c r="G42" i="30" s="1"/>
  <c r="O190" i="30"/>
  <c r="X151" i="30"/>
  <c r="Q264" i="30"/>
  <c r="P262" i="30"/>
  <c r="N7" i="30"/>
  <c r="N9" i="30" s="1"/>
  <c r="O14" i="30"/>
  <c r="N19" i="30"/>
  <c r="O20" i="30"/>
  <c r="M20" i="30"/>
  <c r="N21" i="30"/>
  <c r="G26" i="30"/>
  <c r="G24" i="30" s="1"/>
  <c r="G48" i="30"/>
  <c r="M48" i="30"/>
  <c r="S190" i="30"/>
  <c r="H36" i="30"/>
  <c r="H43" i="30" s="1"/>
  <c r="N15" i="30"/>
  <c r="N43" i="30"/>
  <c r="Q347" i="30"/>
  <c r="P344" i="30"/>
  <c r="O262" i="30"/>
  <c r="P337" i="30"/>
  <c r="T346" i="30"/>
  <c r="M169" i="29"/>
  <c r="Y82" i="29"/>
  <c r="V82" i="29"/>
  <c r="AA132" i="29"/>
  <c r="S132" i="29"/>
  <c r="G132" i="29"/>
  <c r="G151" i="29"/>
  <c r="O151" i="29"/>
  <c r="W151" i="29"/>
  <c r="L169" i="29"/>
  <c r="O169" i="29"/>
  <c r="I169" i="29"/>
  <c r="J169" i="29"/>
  <c r="R169" i="29"/>
  <c r="Z169" i="29"/>
  <c r="G177" i="29"/>
  <c r="H177" i="29"/>
  <c r="P177" i="29"/>
  <c r="X177" i="29"/>
  <c r="Q177" i="29"/>
  <c r="X132" i="29"/>
  <c r="G82" i="29"/>
  <c r="U169" i="29"/>
  <c r="V177" i="29"/>
  <c r="N177" i="29"/>
  <c r="N169" i="29"/>
  <c r="V169" i="29"/>
  <c r="U177" i="29"/>
  <c r="M177" i="29"/>
  <c r="W169" i="29"/>
  <c r="Q169" i="29"/>
  <c r="Y169" i="29"/>
  <c r="Z177" i="29"/>
  <c r="R177" i="29"/>
  <c r="J177" i="29"/>
  <c r="V132" i="29"/>
  <c r="L132" i="29"/>
  <c r="T132" i="29"/>
  <c r="O132" i="29"/>
  <c r="K169" i="29"/>
  <c r="S169" i="29"/>
  <c r="AA169" i="29"/>
  <c r="T177" i="29"/>
  <c r="L177" i="29"/>
  <c r="T169" i="29"/>
  <c r="K177" i="29"/>
  <c r="O82" i="29"/>
  <c r="H132" i="29"/>
  <c r="P132" i="29"/>
  <c r="O177" i="29"/>
  <c r="W177" i="29"/>
  <c r="I132" i="29"/>
  <c r="Q132" i="29"/>
  <c r="Y177" i="29"/>
  <c r="I177" i="29"/>
  <c r="Y132" i="29"/>
  <c r="J132" i="29"/>
  <c r="R132" i="29"/>
  <c r="Z132" i="29"/>
  <c r="M132" i="29"/>
  <c r="U132" i="29"/>
  <c r="K132" i="29"/>
  <c r="W132" i="29"/>
  <c r="N132" i="29"/>
  <c r="H169" i="29"/>
  <c r="P169" i="29"/>
  <c r="X169" i="29"/>
  <c r="J82" i="29"/>
  <c r="H82" i="29"/>
  <c r="I82" i="29"/>
  <c r="K82" i="29"/>
  <c r="N82" i="29"/>
  <c r="L82" i="29"/>
  <c r="M82" i="29"/>
  <c r="K26" i="29"/>
  <c r="G54" i="29"/>
  <c r="O54" i="29"/>
  <c r="I54" i="29"/>
  <c r="N54" i="29"/>
  <c r="J54" i="29"/>
  <c r="K54" i="29"/>
  <c r="H54" i="29"/>
  <c r="L54" i="29"/>
  <c r="M14" i="29"/>
  <c r="L14" i="29" s="1"/>
  <c r="K14" i="29" s="1"/>
  <c r="J14" i="29" s="1"/>
  <c r="I14" i="29" s="1"/>
  <c r="H14" i="29" s="1"/>
  <c r="G14" i="29" s="1"/>
  <c r="M20" i="29"/>
  <c r="L20" i="29" s="1"/>
  <c r="K20" i="29" s="1"/>
  <c r="J20" i="29" s="1"/>
  <c r="I20" i="29" s="1"/>
  <c r="H20" i="29" s="1"/>
  <c r="G20" i="29" s="1"/>
  <c r="M8" i="29"/>
  <c r="L8" i="29" s="1"/>
  <c r="M12" i="29"/>
  <c r="L12" i="29" s="1"/>
  <c r="H26" i="29"/>
  <c r="H24" i="29" s="1"/>
  <c r="L26" i="29"/>
  <c r="L24" i="29" s="1"/>
  <c r="J26" i="29"/>
  <c r="J24" i="29" s="1"/>
  <c r="M26" i="29"/>
  <c r="M24" i="29" s="1"/>
  <c r="I26" i="29"/>
  <c r="I24" i="29" s="1"/>
  <c r="G26" i="29"/>
  <c r="G24" i="29" s="1"/>
  <c r="K24" i="29"/>
  <c r="U256" i="30" l="1"/>
  <c r="T254" i="30"/>
  <c r="R41" i="30"/>
  <c r="T257" i="30"/>
  <c r="Q41" i="30"/>
  <c r="L20" i="30"/>
  <c r="M10" i="30"/>
  <c r="J12" i="30"/>
  <c r="P8" i="30"/>
  <c r="O7" i="30"/>
  <c r="O9" i="30" s="1"/>
  <c r="R347" i="30"/>
  <c r="Q344" i="30"/>
  <c r="Q262" i="30"/>
  <c r="R264" i="30"/>
  <c r="J42" i="30"/>
  <c r="L8" i="30"/>
  <c r="M7" i="30"/>
  <c r="S18" i="30"/>
  <c r="S12" i="30"/>
  <c r="U346" i="30"/>
  <c r="P20" i="30"/>
  <c r="O21" i="30"/>
  <c r="J36" i="30"/>
  <c r="J43" i="30" s="1"/>
  <c r="P335" i="30"/>
  <c r="P39" i="30" s="1"/>
  <c r="Q337" i="30"/>
  <c r="O43" i="30"/>
  <c r="O41" i="30"/>
  <c r="S16" i="30"/>
  <c r="S41" i="30"/>
  <c r="O15" i="30"/>
  <c r="O10" i="30"/>
  <c r="P14" i="30"/>
  <c r="X198" i="30"/>
  <c r="G40" i="30"/>
  <c r="G36" i="30"/>
  <c r="G43" i="30" s="1"/>
  <c r="K8" i="29"/>
  <c r="K12" i="29"/>
  <c r="U257" i="30" l="1"/>
  <c r="T190" i="30"/>
  <c r="T41" i="30" s="1"/>
  <c r="U254" i="30"/>
  <c r="T18" i="30"/>
  <c r="L7" i="30"/>
  <c r="K8" i="30"/>
  <c r="Y198" i="30"/>
  <c r="Q20" i="30"/>
  <c r="O40" i="30"/>
  <c r="S347" i="30"/>
  <c r="R344" i="30"/>
  <c r="Q335" i="30"/>
  <c r="R337" i="30"/>
  <c r="V346" i="30"/>
  <c r="Q8" i="30"/>
  <c r="Q39" i="30"/>
  <c r="I12" i="30"/>
  <c r="T12" i="30"/>
  <c r="R262" i="30"/>
  <c r="S264" i="30"/>
  <c r="Q14" i="30"/>
  <c r="P10" i="30"/>
  <c r="T16" i="30"/>
  <c r="O19" i="30"/>
  <c r="O11" i="30"/>
  <c r="O13" i="30"/>
  <c r="O17" i="30"/>
  <c r="O42" i="30"/>
  <c r="K20" i="30"/>
  <c r="L10" i="30"/>
  <c r="J12" i="29"/>
  <c r="J8" i="29"/>
  <c r="U190" i="30" l="1"/>
  <c r="U41" i="30" s="1"/>
  <c r="P43" i="30"/>
  <c r="P42" i="30"/>
  <c r="P19" i="30"/>
  <c r="P13" i="30"/>
  <c r="P17" i="30"/>
  <c r="P15" i="30"/>
  <c r="W346" i="30"/>
  <c r="Z198" i="30"/>
  <c r="R14" i="30"/>
  <c r="Q10" i="30"/>
  <c r="H12" i="30"/>
  <c r="J8" i="30"/>
  <c r="T264" i="30"/>
  <c r="S262" i="30"/>
  <c r="R20" i="30"/>
  <c r="Q40" i="30"/>
  <c r="U18" i="30"/>
  <c r="J20" i="30"/>
  <c r="K10" i="30"/>
  <c r="K7" i="30" s="1"/>
  <c r="S337" i="30"/>
  <c r="R335" i="30"/>
  <c r="R39" i="30" s="1"/>
  <c r="R8" i="30"/>
  <c r="P21" i="30"/>
  <c r="U12" i="30"/>
  <c r="P7" i="30"/>
  <c r="P9" i="30" s="1"/>
  <c r="Q43" i="30"/>
  <c r="Q42" i="30"/>
  <c r="U16" i="30"/>
  <c r="T347" i="30"/>
  <c r="S344" i="30"/>
  <c r="P40" i="30"/>
  <c r="I8" i="29"/>
  <c r="I12" i="29"/>
  <c r="V190" i="30" l="1"/>
  <c r="V41" i="30" s="1"/>
  <c r="P11" i="30"/>
  <c r="R40" i="30"/>
  <c r="R43" i="30"/>
  <c r="R42" i="30"/>
  <c r="G12" i="30"/>
  <c r="U347" i="30"/>
  <c r="T344" i="30"/>
  <c r="I8" i="30"/>
  <c r="V12" i="30"/>
  <c r="Q17" i="30"/>
  <c r="Q13" i="30"/>
  <c r="Q19" i="30"/>
  <c r="Q15" i="30"/>
  <c r="X346" i="30"/>
  <c r="T337" i="30"/>
  <c r="S335" i="30"/>
  <c r="S39" i="30" s="1"/>
  <c r="AA198" i="30"/>
  <c r="I20" i="30"/>
  <c r="J10" i="30"/>
  <c r="J7" i="30" s="1"/>
  <c r="Q21" i="30"/>
  <c r="V16" i="30"/>
  <c r="Q7" i="30"/>
  <c r="Q9" i="30" s="1"/>
  <c r="R21" i="30"/>
  <c r="S20" i="30"/>
  <c r="S14" i="30"/>
  <c r="R15" i="30"/>
  <c r="R10" i="30"/>
  <c r="S8" i="30"/>
  <c r="R7" i="30"/>
  <c r="R9" i="30" s="1"/>
  <c r="V18" i="30"/>
  <c r="T262" i="30"/>
  <c r="U264" i="30"/>
  <c r="H8" i="29"/>
  <c r="H12" i="29"/>
  <c r="W190" i="30" l="1"/>
  <c r="W41" i="30" s="1"/>
  <c r="Q11" i="30"/>
  <c r="T14" i="30"/>
  <c r="S10" i="30"/>
  <c r="H20" i="30"/>
  <c r="I10" i="30"/>
  <c r="I7" i="30" s="1"/>
  <c r="T8" i="30"/>
  <c r="S7" i="30"/>
  <c r="S9" i="30" s="1"/>
  <c r="W16" i="30"/>
  <c r="W12" i="30"/>
  <c r="T335" i="30"/>
  <c r="T39" i="30" s="1"/>
  <c r="U337" i="30"/>
  <c r="H8" i="30"/>
  <c r="W18" i="30"/>
  <c r="T20" i="30"/>
  <c r="S21" i="30"/>
  <c r="V347" i="30"/>
  <c r="U344" i="30"/>
  <c r="Y346" i="30"/>
  <c r="U262" i="30"/>
  <c r="V264" i="30"/>
  <c r="R11" i="30"/>
  <c r="R19" i="30"/>
  <c r="R13" i="30"/>
  <c r="R17" i="30"/>
  <c r="G12" i="29"/>
  <c r="G8" i="29"/>
  <c r="X190" i="30" l="1"/>
  <c r="X41" i="30" s="1"/>
  <c r="U8" i="30"/>
  <c r="X16" i="30"/>
  <c r="V262" i="30"/>
  <c r="W264" i="30"/>
  <c r="Z346" i="30"/>
  <c r="X18" i="30"/>
  <c r="X12" i="30"/>
  <c r="S11" i="30"/>
  <c r="S17" i="30"/>
  <c r="S13" i="30"/>
  <c r="S19" i="30"/>
  <c r="U14" i="30"/>
  <c r="T10" i="30"/>
  <c r="T7" i="30" s="1"/>
  <c r="T9" i="30" s="1"/>
  <c r="U39" i="30"/>
  <c r="G20" i="30"/>
  <c r="G10" i="30" s="1"/>
  <c r="H10" i="30"/>
  <c r="H7" i="30"/>
  <c r="G8" i="30"/>
  <c r="S43" i="30"/>
  <c r="S42" i="30"/>
  <c r="S15" i="30"/>
  <c r="T21" i="30"/>
  <c r="U20" i="30"/>
  <c r="W347" i="30"/>
  <c r="V344" i="30"/>
  <c r="U335" i="30"/>
  <c r="V337" i="30"/>
  <c r="S40" i="30"/>
  <c r="Z190" i="30" l="1"/>
  <c r="Z41" i="30" s="1"/>
  <c r="Y190" i="30"/>
  <c r="Y41" i="30" s="1"/>
  <c r="V20" i="30"/>
  <c r="Y16" i="30"/>
  <c r="X347" i="30"/>
  <c r="W344" i="30"/>
  <c r="U43" i="30"/>
  <c r="U42" i="30"/>
  <c r="T11" i="30"/>
  <c r="T19" i="30"/>
  <c r="T17" i="30"/>
  <c r="T13" i="30"/>
  <c r="V8" i="30"/>
  <c r="Y12" i="30"/>
  <c r="V14" i="30"/>
  <c r="U10" i="30"/>
  <c r="T43" i="30"/>
  <c r="T42" i="30"/>
  <c r="Y18" i="30"/>
  <c r="U40" i="30"/>
  <c r="W337" i="30"/>
  <c r="V335" i="30"/>
  <c r="V39" i="30" s="1"/>
  <c r="AA346" i="30"/>
  <c r="G7" i="30"/>
  <c r="T15" i="30"/>
  <c r="X264" i="30"/>
  <c r="W262" i="30"/>
  <c r="T40" i="30"/>
  <c r="AA190" i="30" l="1"/>
  <c r="AA41" i="30" s="1"/>
  <c r="V40" i="30"/>
  <c r="U17" i="30"/>
  <c r="U19" i="30"/>
  <c r="U13" i="30"/>
  <c r="V43" i="30"/>
  <c r="V42" i="30"/>
  <c r="W8" i="30"/>
  <c r="U15" i="30"/>
  <c r="Z18" i="30"/>
  <c r="Z16" i="30"/>
  <c r="Z12" i="30"/>
  <c r="Y264" i="30"/>
  <c r="X262" i="30"/>
  <c r="Y347" i="30"/>
  <c r="X344" i="30"/>
  <c r="W14" i="30"/>
  <c r="V15" i="30"/>
  <c r="V10" i="30"/>
  <c r="W20" i="30"/>
  <c r="V21" i="30"/>
  <c r="W335" i="30"/>
  <c r="W39" i="30" s="1"/>
  <c r="X337" i="30"/>
  <c r="U7" i="30"/>
  <c r="U9" i="30" s="1"/>
  <c r="U21" i="30"/>
  <c r="AA18" i="30" l="1"/>
  <c r="AA16" i="30"/>
  <c r="Z347" i="30"/>
  <c r="Y344" i="30"/>
  <c r="Y262" i="30"/>
  <c r="Z264" i="30"/>
  <c r="X20" i="30"/>
  <c r="W7" i="30"/>
  <c r="W9" i="30" s="1"/>
  <c r="X8" i="30"/>
  <c r="X335" i="30"/>
  <c r="X39" i="30" s="1"/>
  <c r="Y337" i="30"/>
  <c r="X14" i="30"/>
  <c r="W10" i="30"/>
  <c r="AA12" i="30"/>
  <c r="V19" i="30"/>
  <c r="V13" i="30"/>
  <c r="V17" i="30"/>
  <c r="V7" i="30"/>
  <c r="V9" i="30" s="1"/>
  <c r="U11" i="30"/>
  <c r="W43" i="30" l="1"/>
  <c r="W42" i="30"/>
  <c r="Y335" i="30"/>
  <c r="Y39" i="30" s="1"/>
  <c r="Z337" i="30"/>
  <c r="X7" i="30"/>
  <c r="X9" i="30" s="1"/>
  <c r="Y8" i="30"/>
  <c r="AA347" i="30"/>
  <c r="AA344" i="30" s="1"/>
  <c r="Z344" i="30"/>
  <c r="Y20" i="30"/>
  <c r="W40" i="30"/>
  <c r="X40" i="30"/>
  <c r="W11" i="30"/>
  <c r="W13" i="30"/>
  <c r="W19" i="30"/>
  <c r="W17" i="30"/>
  <c r="W21" i="30"/>
  <c r="W15" i="30"/>
  <c r="V11" i="30"/>
  <c r="Y14" i="30"/>
  <c r="X10" i="30"/>
  <c r="Z262" i="30"/>
  <c r="AA264" i="30"/>
  <c r="AA262" i="30" s="1"/>
  <c r="AA337" i="30" l="1"/>
  <c r="AA335" i="30" s="1"/>
  <c r="AA39" i="30" s="1"/>
  <c r="Z335" i="30"/>
  <c r="Z39" i="30" s="1"/>
  <c r="X11" i="30"/>
  <c r="X19" i="30"/>
  <c r="X13" i="30"/>
  <c r="X17" i="30"/>
  <c r="Z20" i="30"/>
  <c r="Z14" i="30"/>
  <c r="Y10" i="30"/>
  <c r="Y21" i="30" s="1"/>
  <c r="X43" i="30"/>
  <c r="X42" i="30"/>
  <c r="X21" i="30"/>
  <c r="X15" i="30"/>
  <c r="Z8" i="30"/>
  <c r="Y15" i="30" l="1"/>
  <c r="AA8" i="30"/>
  <c r="Z7" i="30"/>
  <c r="Z9" i="30" s="1"/>
  <c r="AA20" i="30"/>
  <c r="Y13" i="30"/>
  <c r="Y19" i="30"/>
  <c r="Y17" i="30"/>
  <c r="AA14" i="30"/>
  <c r="Z15" i="30"/>
  <c r="Z10" i="30"/>
  <c r="Y43" i="30"/>
  <c r="Y42" i="30"/>
  <c r="Y7" i="30"/>
  <c r="Y9" i="30" s="1"/>
  <c r="Y40" i="30"/>
  <c r="Y11" i="30" l="1"/>
  <c r="Z43" i="30"/>
  <c r="Z42" i="30"/>
  <c r="AA10" i="30"/>
  <c r="AA21" i="30" s="1"/>
  <c r="AA43" i="30"/>
  <c r="AA42" i="30"/>
  <c r="AA40" i="30"/>
  <c r="Z11" i="30"/>
  <c r="Z17" i="30"/>
  <c r="Z13" i="30"/>
  <c r="Z19" i="30"/>
  <c r="Z21" i="30"/>
  <c r="Z40" i="30"/>
  <c r="AA13" i="30" l="1"/>
  <c r="AA19" i="30"/>
  <c r="AA17" i="30"/>
  <c r="AA15" i="30"/>
  <c r="AA7" i="30"/>
  <c r="AC7" i="30" l="1"/>
  <c r="AA9" i="30"/>
  <c r="AA11" i="30"/>
  <c r="B165" i="29" l="1"/>
  <c r="B163" i="29"/>
  <c r="B161" i="29"/>
  <c r="B109" i="29"/>
  <c r="B113" i="29"/>
  <c r="B111" i="29"/>
  <c r="B78" i="29"/>
  <c r="B74" i="29"/>
  <c r="B72" i="29"/>
  <c r="B70" i="29"/>
  <c r="B183" i="29"/>
  <c r="B181" i="29"/>
  <c r="B179" i="29"/>
  <c r="B117" i="29"/>
  <c r="B107" i="29"/>
  <c r="B105" i="29"/>
  <c r="B103" i="29"/>
  <c r="B99" i="29"/>
  <c r="B97" i="29"/>
  <c r="B173" i="29"/>
  <c r="B127" i="29"/>
  <c r="B119" i="29"/>
  <c r="D115" i="29"/>
  <c r="B115" i="29"/>
  <c r="AA115" i="29" l="1"/>
  <c r="Z115" i="29"/>
  <c r="B101" i="29"/>
  <c r="B95" i="29"/>
  <c r="O31" i="29"/>
  <c r="O20" i="29" s="1"/>
  <c r="P31" i="29"/>
  <c r="Q31" i="29"/>
  <c r="R31" i="29"/>
  <c r="S31" i="29"/>
  <c r="T31" i="29"/>
  <c r="U31" i="29"/>
  <c r="V31" i="29"/>
  <c r="W31" i="29"/>
  <c r="X31" i="29"/>
  <c r="Y31" i="29"/>
  <c r="Z31" i="29"/>
  <c r="AA31" i="29"/>
  <c r="O30" i="29"/>
  <c r="O18" i="29" s="1"/>
  <c r="P30" i="29"/>
  <c r="Q30" i="29"/>
  <c r="R30" i="29"/>
  <c r="S30" i="29"/>
  <c r="T30" i="29"/>
  <c r="U30" i="29"/>
  <c r="V30" i="29"/>
  <c r="W30" i="29"/>
  <c r="X30" i="29"/>
  <c r="Y30" i="29"/>
  <c r="Z30" i="29"/>
  <c r="AA30" i="29"/>
  <c r="N30" i="29"/>
  <c r="M18" i="29" s="1"/>
  <c r="O29" i="29"/>
  <c r="P29" i="29"/>
  <c r="Q29" i="29"/>
  <c r="R29" i="29"/>
  <c r="S29" i="29"/>
  <c r="T29" i="29"/>
  <c r="U29" i="29"/>
  <c r="V29" i="29"/>
  <c r="W29" i="29"/>
  <c r="X29" i="29"/>
  <c r="Y29" i="29"/>
  <c r="Z29" i="29"/>
  <c r="AA29" i="29"/>
  <c r="O28" i="29"/>
  <c r="P28" i="29"/>
  <c r="Q28" i="29"/>
  <c r="R28" i="29"/>
  <c r="S28" i="29"/>
  <c r="T28" i="29"/>
  <c r="U28" i="29"/>
  <c r="V28" i="29"/>
  <c r="W28" i="29"/>
  <c r="X28" i="29"/>
  <c r="Y28" i="29"/>
  <c r="Z28" i="29"/>
  <c r="AA28" i="29"/>
  <c r="Q27" i="29"/>
  <c r="R27" i="29"/>
  <c r="S27" i="29"/>
  <c r="T27" i="29"/>
  <c r="U27" i="29"/>
  <c r="V27" i="29"/>
  <c r="W27" i="29"/>
  <c r="X27" i="29"/>
  <c r="Y27" i="29"/>
  <c r="Z27" i="29"/>
  <c r="AA27" i="29"/>
  <c r="O27" i="29"/>
  <c r="O25" i="29"/>
  <c r="P27" i="29"/>
  <c r="Q25" i="29"/>
  <c r="R25" i="29"/>
  <c r="S25" i="29"/>
  <c r="T25" i="29"/>
  <c r="U25" i="29"/>
  <c r="V25" i="29"/>
  <c r="W25" i="29"/>
  <c r="X25" i="29"/>
  <c r="Y25" i="29"/>
  <c r="Z25" i="29"/>
  <c r="AA25" i="29"/>
  <c r="P25" i="29"/>
  <c r="L18" i="29" l="1"/>
  <c r="M10" i="29"/>
  <c r="M7" i="29" s="1"/>
  <c r="Y26" i="29"/>
  <c r="Y24" i="29" s="1"/>
  <c r="U26" i="29"/>
  <c r="U24" i="29" s="1"/>
  <c r="Q26" i="29"/>
  <c r="Q24" i="29" s="1"/>
  <c r="Z26" i="29"/>
  <c r="Z24" i="29" s="1"/>
  <c r="R26" i="29"/>
  <c r="R24" i="29" s="1"/>
  <c r="V26" i="29"/>
  <c r="V24" i="29" s="1"/>
  <c r="P18" i="29"/>
  <c r="Q18" i="29" s="1"/>
  <c r="R18" i="29" s="1"/>
  <c r="S18" i="29" s="1"/>
  <c r="T18" i="29" s="1"/>
  <c r="U18" i="29" s="1"/>
  <c r="V18" i="29" s="1"/>
  <c r="W18" i="29" s="1"/>
  <c r="X18" i="29" s="1"/>
  <c r="Y18" i="29" s="1"/>
  <c r="Z18" i="29" s="1"/>
  <c r="AA18" i="29" s="1"/>
  <c r="P26" i="29"/>
  <c r="P24" i="29" s="1"/>
  <c r="O26" i="29"/>
  <c r="O24" i="29" s="1"/>
  <c r="N26" i="29"/>
  <c r="N24" i="29" s="1"/>
  <c r="X26" i="29"/>
  <c r="X24" i="29" s="1"/>
  <c r="T26" i="29"/>
  <c r="T24" i="29" s="1"/>
  <c r="AA26" i="29"/>
  <c r="AA24" i="29" s="1"/>
  <c r="W26" i="29"/>
  <c r="W24" i="29" s="1"/>
  <c r="S26" i="29"/>
  <c r="S24" i="29" s="1"/>
  <c r="D176" i="24"/>
  <c r="D170" i="24"/>
  <c r="D162" i="24"/>
  <c r="D90" i="24"/>
  <c r="D22" i="24"/>
  <c r="O8" i="29" s="1"/>
  <c r="P8" i="29" s="1"/>
  <c r="Q8" i="29" s="1"/>
  <c r="R8" i="29" s="1"/>
  <c r="S8" i="29" s="1"/>
  <c r="T8" i="29" s="1"/>
  <c r="U8" i="29" s="1"/>
  <c r="V8" i="29" s="1"/>
  <c r="W8" i="29" s="1"/>
  <c r="X8" i="29" s="1"/>
  <c r="Y8" i="29" s="1"/>
  <c r="Z8" i="29" s="1"/>
  <c r="AA8" i="29" s="1"/>
  <c r="E73" i="24"/>
  <c r="E42" i="24"/>
  <c r="P258" i="29"/>
  <c r="Q258" i="29"/>
  <c r="R258" i="29"/>
  <c r="S258" i="29"/>
  <c r="T258" i="29"/>
  <c r="U258" i="29"/>
  <c r="V258" i="29"/>
  <c r="W258" i="29"/>
  <c r="X258" i="29"/>
  <c r="Y258" i="29"/>
  <c r="Z258" i="29"/>
  <c r="AA258" i="29"/>
  <c r="P244" i="29"/>
  <c r="Q244" i="29"/>
  <c r="R244" i="29"/>
  <c r="S244" i="29"/>
  <c r="T244" i="29"/>
  <c r="U244" i="29"/>
  <c r="V244" i="29"/>
  <c r="W244" i="29"/>
  <c r="X244" i="29"/>
  <c r="Y244" i="29"/>
  <c r="Z244" i="29"/>
  <c r="P237" i="29"/>
  <c r="Q237" i="29"/>
  <c r="R237" i="29"/>
  <c r="S237" i="29"/>
  <c r="T237" i="29"/>
  <c r="U237" i="29"/>
  <c r="V237" i="29"/>
  <c r="W237" i="29"/>
  <c r="X237" i="29"/>
  <c r="Y237" i="29"/>
  <c r="Z237" i="29"/>
  <c r="P238" i="29"/>
  <c r="Q238" i="29"/>
  <c r="R238" i="29"/>
  <c r="S238" i="29"/>
  <c r="T238" i="29"/>
  <c r="U238" i="29"/>
  <c r="V238" i="29"/>
  <c r="W238" i="29"/>
  <c r="X238" i="29"/>
  <c r="Y238" i="29"/>
  <c r="Z238" i="29"/>
  <c r="P234" i="29"/>
  <c r="Q234" i="29"/>
  <c r="P235" i="29"/>
  <c r="Q235" i="29"/>
  <c r="P232" i="29"/>
  <c r="Q232" i="29"/>
  <c r="R232" i="29"/>
  <c r="S232" i="29"/>
  <c r="T232" i="29"/>
  <c r="U232" i="29"/>
  <c r="V232" i="29"/>
  <c r="W232" i="29"/>
  <c r="X232" i="29"/>
  <c r="Y232" i="29"/>
  <c r="Z232" i="29"/>
  <c r="P227" i="29"/>
  <c r="Q227" i="29"/>
  <c r="R227" i="29"/>
  <c r="S227" i="29"/>
  <c r="T227" i="29"/>
  <c r="U227" i="29"/>
  <c r="V227" i="29"/>
  <c r="W227" i="29"/>
  <c r="X227" i="29"/>
  <c r="P228" i="29"/>
  <c r="Q228" i="29"/>
  <c r="R228" i="29"/>
  <c r="S228" i="29"/>
  <c r="T228" i="29"/>
  <c r="U228" i="29"/>
  <c r="V228" i="29"/>
  <c r="W228" i="29"/>
  <c r="X228" i="29"/>
  <c r="P229" i="29"/>
  <c r="Q229" i="29"/>
  <c r="R229" i="29"/>
  <c r="S229" i="29"/>
  <c r="T229" i="29"/>
  <c r="U229" i="29"/>
  <c r="V229" i="29"/>
  <c r="W229" i="29"/>
  <c r="X229" i="29"/>
  <c r="P230" i="29"/>
  <c r="Q230" i="29"/>
  <c r="R230" i="29"/>
  <c r="S230" i="29"/>
  <c r="T230" i="29"/>
  <c r="U230" i="29"/>
  <c r="V230" i="29"/>
  <c r="W230" i="29"/>
  <c r="X230" i="29"/>
  <c r="P224" i="29"/>
  <c r="Q224" i="29"/>
  <c r="R224" i="29"/>
  <c r="S224" i="29"/>
  <c r="T224" i="29"/>
  <c r="U224" i="29"/>
  <c r="V224" i="29"/>
  <c r="W224" i="29"/>
  <c r="X224" i="29"/>
  <c r="Y224" i="29"/>
  <c r="Z224" i="29"/>
  <c r="AA224" i="29"/>
  <c r="P225" i="29"/>
  <c r="Q225" i="29"/>
  <c r="R225" i="29"/>
  <c r="S225" i="29"/>
  <c r="T225" i="29"/>
  <c r="U225" i="29"/>
  <c r="V225" i="29"/>
  <c r="W225" i="29"/>
  <c r="X225" i="29"/>
  <c r="Y225" i="29"/>
  <c r="Z225" i="29"/>
  <c r="AA225" i="29"/>
  <c r="O225" i="29"/>
  <c r="O224" i="29"/>
  <c r="P222" i="29"/>
  <c r="Q222" i="29"/>
  <c r="R222" i="29"/>
  <c r="S222" i="29"/>
  <c r="T222" i="29"/>
  <c r="U222" i="29"/>
  <c r="V222" i="29"/>
  <c r="W222" i="29"/>
  <c r="X222" i="29"/>
  <c r="Y222" i="29"/>
  <c r="Z222" i="29"/>
  <c r="AA222" i="29"/>
  <c r="P223" i="29"/>
  <c r="Q223" i="29"/>
  <c r="R223" i="29"/>
  <c r="S223" i="29"/>
  <c r="T223" i="29"/>
  <c r="U223" i="29"/>
  <c r="V223" i="29"/>
  <c r="W223" i="29"/>
  <c r="X223" i="29"/>
  <c r="Y223" i="29"/>
  <c r="Z223" i="29"/>
  <c r="AA223" i="29"/>
  <c r="P217" i="29"/>
  <c r="Q217" i="29"/>
  <c r="R217" i="29"/>
  <c r="S217" i="29"/>
  <c r="T217" i="29"/>
  <c r="U217" i="29"/>
  <c r="V217" i="29"/>
  <c r="W217" i="29"/>
  <c r="X217" i="29"/>
  <c r="Y217" i="29"/>
  <c r="P218" i="29"/>
  <c r="Q218" i="29"/>
  <c r="R218" i="29"/>
  <c r="S218" i="29"/>
  <c r="T218" i="29"/>
  <c r="U218" i="29"/>
  <c r="V218" i="29"/>
  <c r="W218" i="29"/>
  <c r="X218" i="29"/>
  <c r="Y218" i="29"/>
  <c r="P219" i="29"/>
  <c r="Q219" i="29"/>
  <c r="R219" i="29"/>
  <c r="S219" i="29"/>
  <c r="T219" i="29"/>
  <c r="U219" i="29"/>
  <c r="V219" i="29"/>
  <c r="W219" i="29"/>
  <c r="X219" i="29"/>
  <c r="Y219" i="29"/>
  <c r="P220" i="29"/>
  <c r="Q220" i="29"/>
  <c r="R220" i="29"/>
  <c r="S220" i="29"/>
  <c r="T220" i="29"/>
  <c r="U220" i="29"/>
  <c r="V220" i="29"/>
  <c r="W220" i="29"/>
  <c r="X220" i="29"/>
  <c r="Y220" i="29"/>
  <c r="P212" i="29"/>
  <c r="Q212" i="29"/>
  <c r="R212" i="29"/>
  <c r="S212" i="29"/>
  <c r="T212" i="29"/>
  <c r="U212" i="29"/>
  <c r="V212" i="29"/>
  <c r="W212" i="29"/>
  <c r="X212" i="29"/>
  <c r="Y212" i="29"/>
  <c r="Z212" i="29"/>
  <c r="AA212" i="29"/>
  <c r="P209" i="29"/>
  <c r="Q209" i="29"/>
  <c r="R209" i="29"/>
  <c r="S209" i="29"/>
  <c r="T209" i="29"/>
  <c r="U209" i="29"/>
  <c r="V209" i="29"/>
  <c r="W209" i="29"/>
  <c r="X209" i="29"/>
  <c r="P210" i="29"/>
  <c r="Q210" i="29"/>
  <c r="R210" i="29"/>
  <c r="S210" i="29"/>
  <c r="T210" i="29"/>
  <c r="U210" i="29"/>
  <c r="V210" i="29"/>
  <c r="W210" i="29"/>
  <c r="X210" i="29"/>
  <c r="P211" i="29"/>
  <c r="Q211" i="29"/>
  <c r="R211" i="29"/>
  <c r="S211" i="29"/>
  <c r="T211" i="29"/>
  <c r="U211" i="29"/>
  <c r="V211" i="29"/>
  <c r="W211" i="29"/>
  <c r="X211" i="29"/>
  <c r="P207" i="29"/>
  <c r="Q207" i="29"/>
  <c r="R207" i="29"/>
  <c r="S207" i="29"/>
  <c r="T207" i="29"/>
  <c r="U207" i="29"/>
  <c r="V207" i="29"/>
  <c r="W207" i="29"/>
  <c r="X207" i="29"/>
  <c r="Y207" i="29"/>
  <c r="P203" i="29"/>
  <c r="Q203" i="29"/>
  <c r="R203" i="29"/>
  <c r="S203" i="29"/>
  <c r="T203" i="29"/>
  <c r="U203" i="29"/>
  <c r="V203" i="29"/>
  <c r="W203" i="29"/>
  <c r="X203" i="29"/>
  <c r="Y203" i="29"/>
  <c r="P200" i="29"/>
  <c r="Q200" i="29"/>
  <c r="R200" i="29"/>
  <c r="S200" i="29"/>
  <c r="T200" i="29"/>
  <c r="U200" i="29"/>
  <c r="V200" i="29"/>
  <c r="W200" i="29"/>
  <c r="X200" i="29"/>
  <c r="Y200" i="29"/>
  <c r="P201" i="29"/>
  <c r="Q201" i="29"/>
  <c r="R201" i="29"/>
  <c r="S201" i="29"/>
  <c r="T201" i="29"/>
  <c r="U201" i="29"/>
  <c r="V201" i="29"/>
  <c r="W201" i="29"/>
  <c r="X201" i="29"/>
  <c r="Y201" i="29"/>
  <c r="O195" i="29"/>
  <c r="P195" i="29"/>
  <c r="Q195" i="29"/>
  <c r="R195" i="29"/>
  <c r="S195" i="29"/>
  <c r="T195" i="29"/>
  <c r="U195" i="29"/>
  <c r="V195" i="29"/>
  <c r="W195" i="29"/>
  <c r="X195" i="29"/>
  <c r="O196" i="29"/>
  <c r="P196" i="29"/>
  <c r="Q196" i="29"/>
  <c r="R196" i="29"/>
  <c r="S196" i="29"/>
  <c r="T196" i="29"/>
  <c r="U196" i="29"/>
  <c r="V196" i="29"/>
  <c r="W196" i="29"/>
  <c r="X196" i="29"/>
  <c r="O197" i="29"/>
  <c r="P197" i="29"/>
  <c r="Q197" i="29"/>
  <c r="R197" i="29"/>
  <c r="S197" i="29"/>
  <c r="T197" i="29"/>
  <c r="U197" i="29"/>
  <c r="V197" i="29"/>
  <c r="W197" i="29"/>
  <c r="X197" i="29"/>
  <c r="P192" i="29"/>
  <c r="Q192" i="29"/>
  <c r="R192" i="29"/>
  <c r="S192" i="29"/>
  <c r="T192" i="29"/>
  <c r="U192" i="29"/>
  <c r="V192" i="29"/>
  <c r="W192" i="29"/>
  <c r="X192" i="29"/>
  <c r="Y192" i="29"/>
  <c r="P193" i="29"/>
  <c r="Q193" i="29"/>
  <c r="R193" i="29"/>
  <c r="S193" i="29"/>
  <c r="T193" i="29"/>
  <c r="U193" i="29"/>
  <c r="V193" i="29"/>
  <c r="W193" i="29"/>
  <c r="X193" i="29"/>
  <c r="Y193" i="29"/>
  <c r="O347" i="29"/>
  <c r="P347" i="29" s="1"/>
  <c r="O346" i="29"/>
  <c r="P346" i="29" s="1"/>
  <c r="Q346" i="29" s="1"/>
  <c r="M344" i="29"/>
  <c r="L344" i="29"/>
  <c r="K344" i="29"/>
  <c r="J344" i="29"/>
  <c r="I344" i="29"/>
  <c r="H344" i="29"/>
  <c r="G344" i="29"/>
  <c r="O340" i="29"/>
  <c r="P340" i="29" s="1"/>
  <c r="Q340" i="29" s="1"/>
  <c r="R340" i="29" s="1"/>
  <c r="S340" i="29" s="1"/>
  <c r="T340" i="29" s="1"/>
  <c r="U340" i="29" s="1"/>
  <c r="V340" i="29" s="1"/>
  <c r="W340" i="29" s="1"/>
  <c r="X340" i="29" s="1"/>
  <c r="Y340" i="29" s="1"/>
  <c r="Z340" i="29" s="1"/>
  <c r="AA340" i="29" s="1"/>
  <c r="O338" i="29"/>
  <c r="P338" i="29" s="1"/>
  <c r="Q338" i="29" s="1"/>
  <c r="R338" i="29" s="1"/>
  <c r="S338" i="29" s="1"/>
  <c r="T338" i="29" s="1"/>
  <c r="U338" i="29" s="1"/>
  <c r="V338" i="29" s="1"/>
  <c r="W338" i="29" s="1"/>
  <c r="X338" i="29" s="1"/>
  <c r="Y338" i="29" s="1"/>
  <c r="Z338" i="29" s="1"/>
  <c r="AA338" i="29" s="1"/>
  <c r="O337" i="29"/>
  <c r="P337" i="29" s="1"/>
  <c r="Q337" i="29" s="1"/>
  <c r="N335" i="29"/>
  <c r="M335" i="29"/>
  <c r="L335" i="29"/>
  <c r="K335" i="29"/>
  <c r="J335" i="29"/>
  <c r="I335" i="29"/>
  <c r="H335" i="29"/>
  <c r="G335" i="29"/>
  <c r="O331" i="29"/>
  <c r="P331" i="29" s="1"/>
  <c r="Q331" i="29" s="1"/>
  <c r="R331" i="29" s="1"/>
  <c r="S331" i="29" s="1"/>
  <c r="T331" i="29" s="1"/>
  <c r="U331" i="29" s="1"/>
  <c r="V331" i="29" s="1"/>
  <c r="W331" i="29" s="1"/>
  <c r="X331" i="29" s="1"/>
  <c r="Y331" i="29" s="1"/>
  <c r="Z331" i="29" s="1"/>
  <c r="AA331" i="29" s="1"/>
  <c r="O329" i="29"/>
  <c r="P329" i="29" s="1"/>
  <c r="Q329" i="29" s="1"/>
  <c r="R329" i="29" s="1"/>
  <c r="S329" i="29" s="1"/>
  <c r="T329" i="29" s="1"/>
  <c r="U329" i="29" s="1"/>
  <c r="V329" i="29" s="1"/>
  <c r="W329" i="29" s="1"/>
  <c r="X329" i="29" s="1"/>
  <c r="Y329" i="29" s="1"/>
  <c r="Z329" i="29" s="1"/>
  <c r="AA329" i="29" s="1"/>
  <c r="O327" i="29"/>
  <c r="P327" i="29" s="1"/>
  <c r="Q327" i="29" s="1"/>
  <c r="R327" i="29" s="1"/>
  <c r="S327" i="29" s="1"/>
  <c r="T327" i="29" s="1"/>
  <c r="U327" i="29" s="1"/>
  <c r="V327" i="29" s="1"/>
  <c r="W327" i="29" s="1"/>
  <c r="X327" i="29" s="1"/>
  <c r="Y327" i="29" s="1"/>
  <c r="Z327" i="29" s="1"/>
  <c r="AA327" i="29" s="1"/>
  <c r="O325" i="29"/>
  <c r="P325" i="29" s="1"/>
  <c r="Q325" i="29" s="1"/>
  <c r="R325" i="29" s="1"/>
  <c r="S325" i="29" s="1"/>
  <c r="T325" i="29" s="1"/>
  <c r="U325" i="29" s="1"/>
  <c r="V325" i="29" s="1"/>
  <c r="W325" i="29" s="1"/>
  <c r="X325" i="29" s="1"/>
  <c r="Y325" i="29" s="1"/>
  <c r="Z325" i="29" s="1"/>
  <c r="AA325" i="29" s="1"/>
  <c r="O324" i="29"/>
  <c r="P324" i="29" s="1"/>
  <c r="Q324" i="29" s="1"/>
  <c r="R324" i="29" s="1"/>
  <c r="S324" i="29" s="1"/>
  <c r="T324" i="29" s="1"/>
  <c r="U324" i="29" s="1"/>
  <c r="V324" i="29" s="1"/>
  <c r="W324" i="29" s="1"/>
  <c r="X324" i="29" s="1"/>
  <c r="Y324" i="29" s="1"/>
  <c r="Z324" i="29" s="1"/>
  <c r="AA324" i="29" s="1"/>
  <c r="O322" i="29"/>
  <c r="P322" i="29" s="1"/>
  <c r="Q322" i="29" s="1"/>
  <c r="R322" i="29" s="1"/>
  <c r="S322" i="29" s="1"/>
  <c r="T322" i="29" s="1"/>
  <c r="U322" i="29" s="1"/>
  <c r="V322" i="29" s="1"/>
  <c r="W322" i="29" s="1"/>
  <c r="X322" i="29" s="1"/>
  <c r="Y322" i="29" s="1"/>
  <c r="Z322" i="29" s="1"/>
  <c r="AA322" i="29" s="1"/>
  <c r="O320" i="29"/>
  <c r="P320" i="29" s="1"/>
  <c r="Q320" i="29" s="1"/>
  <c r="R320" i="29" s="1"/>
  <c r="S320" i="29" s="1"/>
  <c r="T320" i="29" s="1"/>
  <c r="U320" i="29" s="1"/>
  <c r="V320" i="29" s="1"/>
  <c r="W320" i="29" s="1"/>
  <c r="X320" i="29" s="1"/>
  <c r="Y320" i="29" s="1"/>
  <c r="Z320" i="29" s="1"/>
  <c r="AA320" i="29" s="1"/>
  <c r="O319" i="29"/>
  <c r="P319" i="29" s="1"/>
  <c r="Q319" i="29" s="1"/>
  <c r="R319" i="29" s="1"/>
  <c r="S319" i="29" s="1"/>
  <c r="T319" i="29" s="1"/>
  <c r="U319" i="29" s="1"/>
  <c r="V319" i="29" s="1"/>
  <c r="W319" i="29" s="1"/>
  <c r="X319" i="29" s="1"/>
  <c r="Y319" i="29" s="1"/>
  <c r="Z319" i="29" s="1"/>
  <c r="AA319" i="29" s="1"/>
  <c r="O317" i="29"/>
  <c r="P317" i="29" s="1"/>
  <c r="Q317" i="29" s="1"/>
  <c r="R317" i="29" s="1"/>
  <c r="S317" i="29" s="1"/>
  <c r="T317" i="29" s="1"/>
  <c r="U317" i="29" s="1"/>
  <c r="V317" i="29" s="1"/>
  <c r="W317" i="29" s="1"/>
  <c r="X317" i="29" s="1"/>
  <c r="Y317" i="29" s="1"/>
  <c r="Z317" i="29" s="1"/>
  <c r="AA317" i="29" s="1"/>
  <c r="O315" i="29"/>
  <c r="P315" i="29" s="1"/>
  <c r="Q315" i="29" s="1"/>
  <c r="R315" i="29" s="1"/>
  <c r="S315" i="29" s="1"/>
  <c r="T315" i="29" s="1"/>
  <c r="U315" i="29" s="1"/>
  <c r="V315" i="29" s="1"/>
  <c r="W315" i="29" s="1"/>
  <c r="X315" i="29" s="1"/>
  <c r="Y315" i="29" s="1"/>
  <c r="Z315" i="29" s="1"/>
  <c r="AA315" i="29" s="1"/>
  <c r="O314" i="29"/>
  <c r="P314" i="29" s="1"/>
  <c r="Q314" i="29" s="1"/>
  <c r="R314" i="29" s="1"/>
  <c r="S314" i="29" s="1"/>
  <c r="T314" i="29" s="1"/>
  <c r="U314" i="29" s="1"/>
  <c r="V314" i="29" s="1"/>
  <c r="W314" i="29" s="1"/>
  <c r="X314" i="29" s="1"/>
  <c r="Y314" i="29" s="1"/>
  <c r="Z314" i="29" s="1"/>
  <c r="AA314" i="29" s="1"/>
  <c r="O312" i="29"/>
  <c r="P312" i="29" s="1"/>
  <c r="Q312" i="29" s="1"/>
  <c r="R312" i="29" s="1"/>
  <c r="S312" i="29" s="1"/>
  <c r="T312" i="29" s="1"/>
  <c r="U312" i="29" s="1"/>
  <c r="V312" i="29" s="1"/>
  <c r="W312" i="29" s="1"/>
  <c r="X312" i="29" s="1"/>
  <c r="Y312" i="29" s="1"/>
  <c r="Z312" i="29" s="1"/>
  <c r="AA312" i="29" s="1"/>
  <c r="O310" i="29"/>
  <c r="P310" i="29" s="1"/>
  <c r="Q310" i="29" s="1"/>
  <c r="R310" i="29" s="1"/>
  <c r="S310" i="29" s="1"/>
  <c r="T310" i="29" s="1"/>
  <c r="U310" i="29" s="1"/>
  <c r="V310" i="29" s="1"/>
  <c r="W310" i="29" s="1"/>
  <c r="X310" i="29" s="1"/>
  <c r="Y310" i="29" s="1"/>
  <c r="Z310" i="29" s="1"/>
  <c r="AA310" i="29" s="1"/>
  <c r="O308" i="29"/>
  <c r="P308" i="29" s="1"/>
  <c r="Q308" i="29" s="1"/>
  <c r="R308" i="29" s="1"/>
  <c r="S308" i="29" s="1"/>
  <c r="T308" i="29" s="1"/>
  <c r="U308" i="29" s="1"/>
  <c r="V308" i="29" s="1"/>
  <c r="W308" i="29" s="1"/>
  <c r="X308" i="29" s="1"/>
  <c r="Y308" i="29" s="1"/>
  <c r="Z308" i="29" s="1"/>
  <c r="AA308" i="29" s="1"/>
  <c r="O307" i="29"/>
  <c r="P307" i="29" s="1"/>
  <c r="Q307" i="29" s="1"/>
  <c r="R307" i="29" s="1"/>
  <c r="S307" i="29" s="1"/>
  <c r="T307" i="29" s="1"/>
  <c r="U307" i="29" s="1"/>
  <c r="V307" i="29" s="1"/>
  <c r="W307" i="29" s="1"/>
  <c r="X307" i="29" s="1"/>
  <c r="Y307" i="29" s="1"/>
  <c r="Z307" i="29" s="1"/>
  <c r="AA307" i="29" s="1"/>
  <c r="O305" i="29"/>
  <c r="P305" i="29" s="1"/>
  <c r="Q305" i="29" s="1"/>
  <c r="R305" i="29" s="1"/>
  <c r="S305" i="29" s="1"/>
  <c r="T305" i="29" s="1"/>
  <c r="U305" i="29" s="1"/>
  <c r="V305" i="29" s="1"/>
  <c r="W305" i="29" s="1"/>
  <c r="X305" i="29" s="1"/>
  <c r="Y305" i="29" s="1"/>
  <c r="Z305" i="29" s="1"/>
  <c r="AA305" i="29" s="1"/>
  <c r="O303" i="29"/>
  <c r="P303" i="29" s="1"/>
  <c r="Q303" i="29" s="1"/>
  <c r="R303" i="29" s="1"/>
  <c r="S303" i="29" s="1"/>
  <c r="T303" i="29" s="1"/>
  <c r="U303" i="29" s="1"/>
  <c r="V303" i="29" s="1"/>
  <c r="W303" i="29" s="1"/>
  <c r="X303" i="29" s="1"/>
  <c r="Y303" i="29" s="1"/>
  <c r="Z303" i="29" s="1"/>
  <c r="AA303" i="29" s="1"/>
  <c r="O301" i="29"/>
  <c r="P301" i="29" s="1"/>
  <c r="Q301" i="29" s="1"/>
  <c r="R301" i="29" s="1"/>
  <c r="S301" i="29" s="1"/>
  <c r="T301" i="29" s="1"/>
  <c r="U301" i="29" s="1"/>
  <c r="V301" i="29" s="1"/>
  <c r="W301" i="29" s="1"/>
  <c r="X301" i="29" s="1"/>
  <c r="Y301" i="29" s="1"/>
  <c r="Z301" i="29" s="1"/>
  <c r="AA301" i="29" s="1"/>
  <c r="O299" i="29"/>
  <c r="P299" i="29" s="1"/>
  <c r="Q299" i="29" s="1"/>
  <c r="R299" i="29" s="1"/>
  <c r="S299" i="29" s="1"/>
  <c r="T299" i="29" s="1"/>
  <c r="U299" i="29" s="1"/>
  <c r="V299" i="29" s="1"/>
  <c r="W299" i="29" s="1"/>
  <c r="X299" i="29" s="1"/>
  <c r="Y299" i="29" s="1"/>
  <c r="Z299" i="29" s="1"/>
  <c r="AA299" i="29" s="1"/>
  <c r="O298" i="29"/>
  <c r="P298" i="29" s="1"/>
  <c r="Q298" i="29" s="1"/>
  <c r="R298" i="29" s="1"/>
  <c r="S298" i="29" s="1"/>
  <c r="T298" i="29" s="1"/>
  <c r="U298" i="29" s="1"/>
  <c r="V298" i="29" s="1"/>
  <c r="W298" i="29" s="1"/>
  <c r="X298" i="29" s="1"/>
  <c r="Y298" i="29" s="1"/>
  <c r="Z298" i="29" s="1"/>
  <c r="AA298" i="29" s="1"/>
  <c r="O296" i="29"/>
  <c r="P296" i="29" s="1"/>
  <c r="Q296" i="29" s="1"/>
  <c r="R296" i="29" s="1"/>
  <c r="S296" i="29" s="1"/>
  <c r="T296" i="29" s="1"/>
  <c r="U296" i="29" s="1"/>
  <c r="V296" i="29" s="1"/>
  <c r="W296" i="29" s="1"/>
  <c r="X296" i="29" s="1"/>
  <c r="Y296" i="29" s="1"/>
  <c r="Z296" i="29" s="1"/>
  <c r="AA296" i="29" s="1"/>
  <c r="O295" i="29"/>
  <c r="P295" i="29" s="1"/>
  <c r="Q295" i="29" s="1"/>
  <c r="R295" i="29" s="1"/>
  <c r="S295" i="29" s="1"/>
  <c r="T295" i="29" s="1"/>
  <c r="U295" i="29" s="1"/>
  <c r="V295" i="29" s="1"/>
  <c r="W295" i="29" s="1"/>
  <c r="X295" i="29" s="1"/>
  <c r="Y295" i="29" s="1"/>
  <c r="Z295" i="29" s="1"/>
  <c r="AA295" i="29" s="1"/>
  <c r="O293" i="29"/>
  <c r="P293" i="29" s="1"/>
  <c r="Q293" i="29" s="1"/>
  <c r="R293" i="29" s="1"/>
  <c r="S293" i="29" s="1"/>
  <c r="T293" i="29" s="1"/>
  <c r="U293" i="29" s="1"/>
  <c r="V293" i="29" s="1"/>
  <c r="W293" i="29" s="1"/>
  <c r="X293" i="29" s="1"/>
  <c r="Y293" i="29" s="1"/>
  <c r="Z293" i="29" s="1"/>
  <c r="AA293" i="29" s="1"/>
  <c r="O292" i="29"/>
  <c r="P292" i="29" s="1"/>
  <c r="Q292" i="29" s="1"/>
  <c r="R292" i="29" s="1"/>
  <c r="S292" i="29" s="1"/>
  <c r="T292" i="29" s="1"/>
  <c r="U292" i="29" s="1"/>
  <c r="V292" i="29" s="1"/>
  <c r="W292" i="29" s="1"/>
  <c r="X292" i="29" s="1"/>
  <c r="Y292" i="29" s="1"/>
  <c r="Z292" i="29" s="1"/>
  <c r="AA292" i="29" s="1"/>
  <c r="O291" i="29"/>
  <c r="P291" i="29" s="1"/>
  <c r="Q291" i="29" s="1"/>
  <c r="R291" i="29" s="1"/>
  <c r="S291" i="29" s="1"/>
  <c r="T291" i="29" s="1"/>
  <c r="U291" i="29" s="1"/>
  <c r="V291" i="29" s="1"/>
  <c r="W291" i="29" s="1"/>
  <c r="X291" i="29" s="1"/>
  <c r="Y291" i="29" s="1"/>
  <c r="Z291" i="29" s="1"/>
  <c r="AA291" i="29" s="1"/>
  <c r="O290" i="29"/>
  <c r="P290" i="29" s="1"/>
  <c r="Q290" i="29" s="1"/>
  <c r="R290" i="29" s="1"/>
  <c r="S290" i="29" s="1"/>
  <c r="T290" i="29" s="1"/>
  <c r="U290" i="29" s="1"/>
  <c r="V290" i="29" s="1"/>
  <c r="W290" i="29" s="1"/>
  <c r="X290" i="29" s="1"/>
  <c r="Y290" i="29" s="1"/>
  <c r="Z290" i="29" s="1"/>
  <c r="AA290" i="29" s="1"/>
  <c r="O289" i="29"/>
  <c r="P289" i="29" s="1"/>
  <c r="Q289" i="29" s="1"/>
  <c r="R289" i="29" s="1"/>
  <c r="S289" i="29" s="1"/>
  <c r="T289" i="29" s="1"/>
  <c r="U289" i="29" s="1"/>
  <c r="V289" i="29" s="1"/>
  <c r="W289" i="29" s="1"/>
  <c r="X289" i="29" s="1"/>
  <c r="Y289" i="29" s="1"/>
  <c r="Z289" i="29" s="1"/>
  <c r="AA289" i="29" s="1"/>
  <c r="O287" i="29"/>
  <c r="P287" i="29" s="1"/>
  <c r="Q287" i="29" s="1"/>
  <c r="R287" i="29" s="1"/>
  <c r="S287" i="29" s="1"/>
  <c r="T287" i="29" s="1"/>
  <c r="U287" i="29" s="1"/>
  <c r="V287" i="29" s="1"/>
  <c r="W287" i="29" s="1"/>
  <c r="X287" i="29" s="1"/>
  <c r="Y287" i="29" s="1"/>
  <c r="Z287" i="29" s="1"/>
  <c r="AA287" i="29" s="1"/>
  <c r="O285" i="29"/>
  <c r="P285" i="29" s="1"/>
  <c r="Q285" i="29" s="1"/>
  <c r="R285" i="29" s="1"/>
  <c r="S285" i="29" s="1"/>
  <c r="T285" i="29" s="1"/>
  <c r="U285" i="29" s="1"/>
  <c r="V285" i="29" s="1"/>
  <c r="W285" i="29" s="1"/>
  <c r="X285" i="29" s="1"/>
  <c r="Y285" i="29" s="1"/>
  <c r="Z285" i="29" s="1"/>
  <c r="AA285" i="29" s="1"/>
  <c r="O284" i="29"/>
  <c r="P284" i="29" s="1"/>
  <c r="Q284" i="29" s="1"/>
  <c r="R284" i="29" s="1"/>
  <c r="S284" i="29" s="1"/>
  <c r="T284" i="29" s="1"/>
  <c r="U284" i="29" s="1"/>
  <c r="V284" i="29" s="1"/>
  <c r="W284" i="29" s="1"/>
  <c r="X284" i="29" s="1"/>
  <c r="Y284" i="29" s="1"/>
  <c r="Z284" i="29" s="1"/>
  <c r="AA284" i="29" s="1"/>
  <c r="O282" i="29"/>
  <c r="O281" i="29"/>
  <c r="P281" i="29" s="1"/>
  <c r="Q281" i="29" s="1"/>
  <c r="R281" i="29" s="1"/>
  <c r="S281" i="29" s="1"/>
  <c r="T281" i="29" s="1"/>
  <c r="U281" i="29" s="1"/>
  <c r="V281" i="29" s="1"/>
  <c r="W281" i="29" s="1"/>
  <c r="X281" i="29" s="1"/>
  <c r="Y281" i="29" s="1"/>
  <c r="Z281" i="29" s="1"/>
  <c r="AA281" i="29" s="1"/>
  <c r="O280" i="29"/>
  <c r="P280" i="29" s="1"/>
  <c r="Q280" i="29" s="1"/>
  <c r="R280" i="29" s="1"/>
  <c r="S280" i="29" s="1"/>
  <c r="T280" i="29" s="1"/>
  <c r="U280" i="29" s="1"/>
  <c r="V280" i="29" s="1"/>
  <c r="W280" i="29" s="1"/>
  <c r="X280" i="29" s="1"/>
  <c r="Y280" i="29" s="1"/>
  <c r="Z280" i="29" s="1"/>
  <c r="AA280" i="29" s="1"/>
  <c r="O278" i="29"/>
  <c r="P278" i="29" s="1"/>
  <c r="Q278" i="29" s="1"/>
  <c r="R278" i="29" s="1"/>
  <c r="S278" i="29" s="1"/>
  <c r="T278" i="29" s="1"/>
  <c r="U278" i="29" s="1"/>
  <c r="V278" i="29" s="1"/>
  <c r="W278" i="29" s="1"/>
  <c r="X278" i="29" s="1"/>
  <c r="Y278" i="29" s="1"/>
  <c r="Z278" i="29" s="1"/>
  <c r="AA278" i="29" s="1"/>
  <c r="O277" i="29"/>
  <c r="P277" i="29" s="1"/>
  <c r="Q277" i="29" s="1"/>
  <c r="R277" i="29" s="1"/>
  <c r="S277" i="29" s="1"/>
  <c r="T277" i="29" s="1"/>
  <c r="U277" i="29" s="1"/>
  <c r="V277" i="29" s="1"/>
  <c r="W277" i="29" s="1"/>
  <c r="X277" i="29" s="1"/>
  <c r="Y277" i="29" s="1"/>
  <c r="Z277" i="29" s="1"/>
  <c r="AA277" i="29" s="1"/>
  <c r="O275" i="29"/>
  <c r="P275" i="29" s="1"/>
  <c r="Q275" i="29" s="1"/>
  <c r="R275" i="29" s="1"/>
  <c r="S275" i="29" s="1"/>
  <c r="T275" i="29" s="1"/>
  <c r="U275" i="29" s="1"/>
  <c r="V275" i="29" s="1"/>
  <c r="W275" i="29" s="1"/>
  <c r="X275" i="29" s="1"/>
  <c r="Y275" i="29" s="1"/>
  <c r="Z275" i="29" s="1"/>
  <c r="AA275" i="29" s="1"/>
  <c r="O273" i="29"/>
  <c r="P273" i="29" s="1"/>
  <c r="Q273" i="29" s="1"/>
  <c r="R273" i="29" s="1"/>
  <c r="S273" i="29" s="1"/>
  <c r="T273" i="29" s="1"/>
  <c r="U273" i="29" s="1"/>
  <c r="V273" i="29" s="1"/>
  <c r="W273" i="29" s="1"/>
  <c r="X273" i="29" s="1"/>
  <c r="Y273" i="29" s="1"/>
  <c r="Z273" i="29" s="1"/>
  <c r="AA273" i="29" s="1"/>
  <c r="O272" i="29"/>
  <c r="P272" i="29" s="1"/>
  <c r="Q272" i="29" s="1"/>
  <c r="R272" i="29" s="1"/>
  <c r="S272" i="29" s="1"/>
  <c r="T272" i="29" s="1"/>
  <c r="U272" i="29" s="1"/>
  <c r="V272" i="29" s="1"/>
  <c r="W272" i="29" s="1"/>
  <c r="X272" i="29" s="1"/>
  <c r="Y272" i="29" s="1"/>
  <c r="Z272" i="29" s="1"/>
  <c r="AA272" i="29" s="1"/>
  <c r="O270" i="29"/>
  <c r="P270" i="29" s="1"/>
  <c r="Q270" i="29" s="1"/>
  <c r="R270" i="29" s="1"/>
  <c r="S270" i="29" s="1"/>
  <c r="T270" i="29" s="1"/>
  <c r="U270" i="29" s="1"/>
  <c r="V270" i="29" s="1"/>
  <c r="W270" i="29" s="1"/>
  <c r="X270" i="29" s="1"/>
  <c r="Y270" i="29" s="1"/>
  <c r="Z270" i="29" s="1"/>
  <c r="AA270" i="29" s="1"/>
  <c r="O269" i="29"/>
  <c r="P269" i="29" s="1"/>
  <c r="Q269" i="29" s="1"/>
  <c r="R269" i="29" s="1"/>
  <c r="S269" i="29" s="1"/>
  <c r="T269" i="29" s="1"/>
  <c r="U269" i="29" s="1"/>
  <c r="V269" i="29" s="1"/>
  <c r="W269" i="29" s="1"/>
  <c r="X269" i="29" s="1"/>
  <c r="Y269" i="29" s="1"/>
  <c r="Z269" i="29" s="1"/>
  <c r="AA269" i="29" s="1"/>
  <c r="O268" i="29"/>
  <c r="P268" i="29" s="1"/>
  <c r="Q268" i="29" s="1"/>
  <c r="R268" i="29" s="1"/>
  <c r="S268" i="29" s="1"/>
  <c r="T268" i="29" s="1"/>
  <c r="U268" i="29" s="1"/>
  <c r="V268" i="29" s="1"/>
  <c r="W268" i="29" s="1"/>
  <c r="X268" i="29" s="1"/>
  <c r="Y268" i="29" s="1"/>
  <c r="Z268" i="29" s="1"/>
  <c r="AA268" i="29" s="1"/>
  <c r="O266" i="29"/>
  <c r="P266" i="29" s="1"/>
  <c r="Q266" i="29" s="1"/>
  <c r="R266" i="29" s="1"/>
  <c r="S266" i="29" s="1"/>
  <c r="T266" i="29" s="1"/>
  <c r="U266" i="29" s="1"/>
  <c r="V266" i="29" s="1"/>
  <c r="W266" i="29" s="1"/>
  <c r="X266" i="29" s="1"/>
  <c r="Y266" i="29" s="1"/>
  <c r="Z266" i="29" s="1"/>
  <c r="AA266" i="29" s="1"/>
  <c r="O265" i="29"/>
  <c r="O264" i="29"/>
  <c r="P264" i="29" s="1"/>
  <c r="Q264" i="29" s="1"/>
  <c r="R264" i="29" s="1"/>
  <c r="S264" i="29" s="1"/>
  <c r="N262" i="29"/>
  <c r="M262" i="29"/>
  <c r="L262" i="29"/>
  <c r="K262" i="29"/>
  <c r="J262" i="29"/>
  <c r="I262" i="29"/>
  <c r="H262" i="29"/>
  <c r="O258" i="29"/>
  <c r="O257" i="29"/>
  <c r="P257" i="29" s="1"/>
  <c r="O256" i="29"/>
  <c r="P256" i="29" s="1"/>
  <c r="O255" i="29"/>
  <c r="P255" i="29" s="1"/>
  <c r="O254" i="29"/>
  <c r="P254" i="29" s="1"/>
  <c r="AA244" i="29"/>
  <c r="O244" i="29"/>
  <c r="O243" i="29"/>
  <c r="P243" i="29" s="1"/>
  <c r="O242" i="29"/>
  <c r="P242" i="29" s="1"/>
  <c r="O241" i="29"/>
  <c r="P241" i="29" s="1"/>
  <c r="O240" i="29"/>
  <c r="P240" i="29" s="1"/>
  <c r="AA238" i="29"/>
  <c r="O238" i="29"/>
  <c r="AA237" i="29"/>
  <c r="O237" i="29"/>
  <c r="O235" i="29"/>
  <c r="O234" i="29"/>
  <c r="AA232" i="29"/>
  <c r="O232" i="29"/>
  <c r="AA230" i="29"/>
  <c r="Z230" i="29"/>
  <c r="Y230" i="29"/>
  <c r="O230" i="29"/>
  <c r="AA229" i="29"/>
  <c r="Z229" i="29"/>
  <c r="Y229" i="29"/>
  <c r="O229" i="29"/>
  <c r="AA228" i="29"/>
  <c r="Z228" i="29"/>
  <c r="Y228" i="29"/>
  <c r="O228" i="29"/>
  <c r="AA227" i="29"/>
  <c r="Z227" i="29"/>
  <c r="Y227" i="29"/>
  <c r="O227" i="29"/>
  <c r="O226" i="29"/>
  <c r="O223" i="29"/>
  <c r="O222" i="29"/>
  <c r="AA220" i="29"/>
  <c r="Z220" i="29"/>
  <c r="O220" i="29"/>
  <c r="AA219" i="29"/>
  <c r="Z219" i="29"/>
  <c r="O219" i="29"/>
  <c r="AA218" i="29"/>
  <c r="Z218" i="29"/>
  <c r="O218" i="29"/>
  <c r="AA217" i="29"/>
  <c r="Z217" i="29"/>
  <c r="O217" i="29"/>
  <c r="O212" i="29"/>
  <c r="AA211" i="29"/>
  <c r="Z211" i="29"/>
  <c r="Y211" i="29"/>
  <c r="O211" i="29"/>
  <c r="AA210" i="29"/>
  <c r="Z210" i="29"/>
  <c r="Y210" i="29"/>
  <c r="O210" i="29"/>
  <c r="AA209" i="29"/>
  <c r="Z209" i="29"/>
  <c r="Y209" i="29"/>
  <c r="O209" i="29"/>
  <c r="AA207" i="29"/>
  <c r="Z207" i="29"/>
  <c r="O207" i="29"/>
  <c r="O206" i="29"/>
  <c r="P206" i="29" s="1"/>
  <c r="Q206" i="29" s="1"/>
  <c r="R206" i="29" s="1"/>
  <c r="S206" i="29" s="1"/>
  <c r="T206" i="29" s="1"/>
  <c r="U206" i="29" s="1"/>
  <c r="V206" i="29" s="1"/>
  <c r="W206" i="29" s="1"/>
  <c r="X206" i="29" s="1"/>
  <c r="Y206" i="29" s="1"/>
  <c r="Z206" i="29" s="1"/>
  <c r="AA206" i="29" s="1"/>
  <c r="P205" i="29"/>
  <c r="Q205" i="29" s="1"/>
  <c r="R205" i="29" s="1"/>
  <c r="S205" i="29" s="1"/>
  <c r="T205" i="29" s="1"/>
  <c r="U205" i="29" s="1"/>
  <c r="V205" i="29" s="1"/>
  <c r="W205" i="29" s="1"/>
  <c r="X205" i="29" s="1"/>
  <c r="Y205" i="29" s="1"/>
  <c r="Z205" i="29" s="1"/>
  <c r="AA205" i="29" s="1"/>
  <c r="P204" i="29"/>
  <c r="Q204" i="29" s="1"/>
  <c r="R204" i="29" s="1"/>
  <c r="S204" i="29" s="1"/>
  <c r="T204" i="29" s="1"/>
  <c r="U204" i="29" s="1"/>
  <c r="V204" i="29" s="1"/>
  <c r="W204" i="29" s="1"/>
  <c r="X204" i="29" s="1"/>
  <c r="Y204" i="29" s="1"/>
  <c r="Z204" i="29" s="1"/>
  <c r="AA204" i="29" s="1"/>
  <c r="AA203" i="29"/>
  <c r="Z203" i="29"/>
  <c r="O203" i="29"/>
  <c r="O202" i="29"/>
  <c r="P202" i="29" s="1"/>
  <c r="Q202" i="29" s="1"/>
  <c r="R202" i="29" s="1"/>
  <c r="S202" i="29" s="1"/>
  <c r="T202" i="29" s="1"/>
  <c r="U202" i="29" s="1"/>
  <c r="V202" i="29" s="1"/>
  <c r="W202" i="29" s="1"/>
  <c r="X202" i="29" s="1"/>
  <c r="Y202" i="29" s="1"/>
  <c r="Z202" i="29" s="1"/>
  <c r="AA202" i="29" s="1"/>
  <c r="AA201" i="29"/>
  <c r="Z201" i="29"/>
  <c r="O201" i="29"/>
  <c r="AA200" i="29"/>
  <c r="Z200" i="29"/>
  <c r="O199" i="29"/>
  <c r="P199" i="29" s="1"/>
  <c r="Q199" i="29" s="1"/>
  <c r="R199" i="29" s="1"/>
  <c r="S199" i="29" s="1"/>
  <c r="T199" i="29" s="1"/>
  <c r="U199" i="29" s="1"/>
  <c r="V199" i="29" s="1"/>
  <c r="W199" i="29" s="1"/>
  <c r="X199" i="29" s="1"/>
  <c r="Y199" i="29" s="1"/>
  <c r="Z199" i="29" s="1"/>
  <c r="AA199" i="29" s="1"/>
  <c r="O198" i="29"/>
  <c r="AA197" i="29"/>
  <c r="Z197" i="29"/>
  <c r="Y197" i="29"/>
  <c r="AA196" i="29"/>
  <c r="Z196" i="29"/>
  <c r="Y196" i="29"/>
  <c r="AA195" i="29"/>
  <c r="Z195" i="29"/>
  <c r="Y195" i="29"/>
  <c r="AA193" i="29"/>
  <c r="Z193" i="29"/>
  <c r="O193" i="29"/>
  <c r="AA192" i="29"/>
  <c r="Z192" i="29"/>
  <c r="O192" i="29"/>
  <c r="N190" i="29"/>
  <c r="N41" i="29" s="1"/>
  <c r="M190" i="29"/>
  <c r="L190" i="29"/>
  <c r="L41" i="29" s="1"/>
  <c r="K190" i="29"/>
  <c r="K41" i="29" s="1"/>
  <c r="J190" i="29"/>
  <c r="J41" i="29" s="1"/>
  <c r="I190" i="29"/>
  <c r="H190" i="29"/>
  <c r="G41" i="29"/>
  <c r="N151" i="29"/>
  <c r="M151" i="29"/>
  <c r="L151" i="29"/>
  <c r="K151" i="29"/>
  <c r="J151" i="29"/>
  <c r="I151" i="29"/>
  <c r="H151" i="29"/>
  <c r="AA78" i="29"/>
  <c r="Z78" i="29"/>
  <c r="Y78" i="29"/>
  <c r="X78" i="29"/>
  <c r="W78" i="29"/>
  <c r="V78" i="29"/>
  <c r="U78" i="29"/>
  <c r="T78" i="29"/>
  <c r="S78" i="29"/>
  <c r="R78" i="29"/>
  <c r="Q78" i="29"/>
  <c r="AA36" i="29"/>
  <c r="Z36" i="29"/>
  <c r="Y36" i="29"/>
  <c r="X36" i="29"/>
  <c r="W36" i="29"/>
  <c r="V36" i="29"/>
  <c r="U36" i="29"/>
  <c r="T36" i="29"/>
  <c r="S36" i="29"/>
  <c r="R36" i="29"/>
  <c r="Q36" i="29"/>
  <c r="P36" i="29"/>
  <c r="O36" i="29"/>
  <c r="AA60" i="27"/>
  <c r="AA58" i="27"/>
  <c r="Z58" i="27"/>
  <c r="W138" i="27"/>
  <c r="W158" i="27"/>
  <c r="O190" i="29" l="1"/>
  <c r="O41" i="29" s="1"/>
  <c r="P54" i="29"/>
  <c r="M41" i="29"/>
  <c r="I41" i="29"/>
  <c r="H41" i="29"/>
  <c r="G39" i="29"/>
  <c r="Q82" i="29"/>
  <c r="P82" i="29"/>
  <c r="K18" i="29"/>
  <c r="L10" i="29"/>
  <c r="L7" i="29" s="1"/>
  <c r="O14" i="29"/>
  <c r="P14" i="29" s="1"/>
  <c r="Q14" i="29" s="1"/>
  <c r="R14" i="29" s="1"/>
  <c r="S14" i="29" s="1"/>
  <c r="T14" i="29" s="1"/>
  <c r="U14" i="29" s="1"/>
  <c r="V14" i="29" s="1"/>
  <c r="W14" i="29" s="1"/>
  <c r="X14" i="29" s="1"/>
  <c r="Y14" i="29" s="1"/>
  <c r="Z14" i="29" s="1"/>
  <c r="AA14" i="29" s="1"/>
  <c r="P20" i="29"/>
  <c r="Q20" i="29" s="1"/>
  <c r="R20" i="29" s="1"/>
  <c r="S20" i="29" s="1"/>
  <c r="T20" i="29" s="1"/>
  <c r="U20" i="29" s="1"/>
  <c r="V20" i="29" s="1"/>
  <c r="W20" i="29" s="1"/>
  <c r="X20" i="29" s="1"/>
  <c r="Y20" i="29" s="1"/>
  <c r="Z20" i="29" s="1"/>
  <c r="AA20" i="29" s="1"/>
  <c r="O12" i="29"/>
  <c r="P12" i="29" s="1"/>
  <c r="Q12" i="29" s="1"/>
  <c r="T82" i="29"/>
  <c r="K39" i="29"/>
  <c r="I39" i="29"/>
  <c r="I40" i="29" s="1"/>
  <c r="M39" i="29"/>
  <c r="L38" i="29"/>
  <c r="G38" i="29"/>
  <c r="J38" i="29"/>
  <c r="H39" i="29"/>
  <c r="L39" i="29"/>
  <c r="I38" i="29"/>
  <c r="M38" i="29"/>
  <c r="S82" i="29"/>
  <c r="W82" i="29"/>
  <c r="U82" i="29"/>
  <c r="Q151" i="29"/>
  <c r="U151" i="29"/>
  <c r="Y151" i="29"/>
  <c r="X151" i="29"/>
  <c r="P151" i="29"/>
  <c r="T151" i="29"/>
  <c r="J39" i="29"/>
  <c r="N39" i="29"/>
  <c r="H38" i="29"/>
  <c r="N38" i="29"/>
  <c r="O344" i="29"/>
  <c r="R82" i="29"/>
  <c r="Z82" i="29"/>
  <c r="X82" i="29"/>
  <c r="K38" i="29"/>
  <c r="X54" i="29"/>
  <c r="V54" i="29"/>
  <c r="AA82" i="29"/>
  <c r="R151" i="29"/>
  <c r="V151" i="29"/>
  <c r="Z151" i="29"/>
  <c r="AA54" i="29"/>
  <c r="Z54" i="29"/>
  <c r="T54" i="29"/>
  <c r="R54" i="29"/>
  <c r="S54" i="29"/>
  <c r="W54" i="29"/>
  <c r="U54" i="29"/>
  <c r="Y54" i="29"/>
  <c r="P198" i="29"/>
  <c r="P226" i="29"/>
  <c r="Q226" i="29" s="1"/>
  <c r="R226" i="29" s="1"/>
  <c r="S226" i="29" s="1"/>
  <c r="T226" i="29" s="1"/>
  <c r="U226" i="29" s="1"/>
  <c r="V226" i="29" s="1"/>
  <c r="W226" i="29" s="1"/>
  <c r="X226" i="29" s="1"/>
  <c r="Y226" i="29" s="1"/>
  <c r="Z226" i="29" s="1"/>
  <c r="AA226" i="29" s="1"/>
  <c r="T264" i="29"/>
  <c r="O262" i="29"/>
  <c r="P265" i="29"/>
  <c r="Q265" i="29" s="1"/>
  <c r="Q54" i="29"/>
  <c r="S151" i="29"/>
  <c r="Q335" i="29"/>
  <c r="R337" i="29"/>
  <c r="P344" i="29"/>
  <c r="Q347" i="29"/>
  <c r="R347" i="29" s="1"/>
  <c r="S347" i="29" s="1"/>
  <c r="T347" i="29" s="1"/>
  <c r="U347" i="29" s="1"/>
  <c r="V347" i="29" s="1"/>
  <c r="W347" i="29" s="1"/>
  <c r="X347" i="29" s="1"/>
  <c r="Y347" i="29" s="1"/>
  <c r="Z347" i="29" s="1"/>
  <c r="AA347" i="29" s="1"/>
  <c r="R346" i="29"/>
  <c r="P335" i="29"/>
  <c r="O335" i="29"/>
  <c r="O28" i="27"/>
  <c r="M17" i="28" s="1"/>
  <c r="H36" i="29" l="1"/>
  <c r="H43" i="29" s="1"/>
  <c r="I36" i="29"/>
  <c r="I43" i="29" s="1"/>
  <c r="G36" i="29"/>
  <c r="G43" i="29" s="1"/>
  <c r="L36" i="29"/>
  <c r="L43" i="29" s="1"/>
  <c r="J18" i="29"/>
  <c r="K10" i="29"/>
  <c r="K7" i="29" s="1"/>
  <c r="M36" i="29"/>
  <c r="M43" i="29" s="1"/>
  <c r="K36" i="29"/>
  <c r="K43" i="29" s="1"/>
  <c r="J36" i="29"/>
  <c r="J43" i="29" s="1"/>
  <c r="J40" i="29"/>
  <c r="J42" i="29"/>
  <c r="R12" i="29"/>
  <c r="I42" i="29"/>
  <c r="L42" i="29"/>
  <c r="L40" i="29"/>
  <c r="G42" i="29"/>
  <c r="K40" i="29"/>
  <c r="M42" i="29"/>
  <c r="N40" i="29"/>
  <c r="G40" i="29"/>
  <c r="K42" i="29"/>
  <c r="M40" i="29"/>
  <c r="Q344" i="29"/>
  <c r="O39" i="29"/>
  <c r="H42" i="29"/>
  <c r="N42" i="29"/>
  <c r="N36" i="29"/>
  <c r="N43" i="29" s="1"/>
  <c r="H40" i="29"/>
  <c r="R265" i="29"/>
  <c r="Q262" i="29"/>
  <c r="Q39" i="29" s="1"/>
  <c r="U264" i="29"/>
  <c r="P262" i="29"/>
  <c r="P39" i="29" s="1"/>
  <c r="Q198" i="29"/>
  <c r="P190" i="29"/>
  <c r="S346" i="29"/>
  <c r="R344" i="29"/>
  <c r="S337" i="29"/>
  <c r="R335" i="29"/>
  <c r="X186" i="27"/>
  <c r="Y186" i="27"/>
  <c r="Z186" i="27"/>
  <c r="AA186" i="27"/>
  <c r="O186" i="27"/>
  <c r="W137" i="27"/>
  <c r="X137" i="27"/>
  <c r="Y137" i="27"/>
  <c r="Z137" i="27"/>
  <c r="AA137" i="27"/>
  <c r="X138" i="27"/>
  <c r="Y138" i="27"/>
  <c r="Z138" i="27"/>
  <c r="AA138" i="27"/>
  <c r="W139" i="27"/>
  <c r="X139" i="27"/>
  <c r="Y139" i="27"/>
  <c r="Z139" i="27"/>
  <c r="AA139" i="27"/>
  <c r="O139" i="27"/>
  <c r="O138" i="27"/>
  <c r="O137" i="27"/>
  <c r="W135" i="27"/>
  <c r="X135" i="27"/>
  <c r="Y135" i="27"/>
  <c r="Z135" i="27"/>
  <c r="AA135" i="27"/>
  <c r="W131" i="27"/>
  <c r="X131" i="27"/>
  <c r="Y131" i="27"/>
  <c r="Z131" i="27"/>
  <c r="AA131" i="27"/>
  <c r="W129" i="27"/>
  <c r="X129" i="27"/>
  <c r="Y129" i="27"/>
  <c r="Z129" i="27"/>
  <c r="AA129" i="27"/>
  <c r="O135" i="27"/>
  <c r="O131" i="27"/>
  <c r="O129" i="27"/>
  <c r="P121" i="27"/>
  <c r="X120" i="27"/>
  <c r="Y120" i="27"/>
  <c r="Z120" i="27"/>
  <c r="AA120" i="27"/>
  <c r="W121" i="27"/>
  <c r="X121" i="27"/>
  <c r="Y121" i="27"/>
  <c r="Z121" i="27"/>
  <c r="AA121" i="27"/>
  <c r="O121" i="27"/>
  <c r="O120" i="27"/>
  <c r="X145" i="27"/>
  <c r="Y145" i="27"/>
  <c r="Z145" i="27"/>
  <c r="AA145" i="27"/>
  <c r="X146" i="27"/>
  <c r="Y146" i="27"/>
  <c r="Z146" i="27"/>
  <c r="AA146" i="27"/>
  <c r="X147" i="27"/>
  <c r="Y147" i="27"/>
  <c r="Z147" i="27"/>
  <c r="AA147" i="27"/>
  <c r="X148" i="27"/>
  <c r="Y148" i="27"/>
  <c r="Z148" i="27"/>
  <c r="AA148" i="27"/>
  <c r="O148" i="27"/>
  <c r="O147" i="27"/>
  <c r="O146" i="27"/>
  <c r="O145" i="27"/>
  <c r="O124" i="27"/>
  <c r="Y155" i="27"/>
  <c r="Z155" i="27"/>
  <c r="AA155" i="27"/>
  <c r="Y156" i="27"/>
  <c r="Z156" i="27"/>
  <c r="AA156" i="27"/>
  <c r="X157" i="27"/>
  <c r="Y157" i="27"/>
  <c r="Z157" i="27"/>
  <c r="AA157" i="27"/>
  <c r="P158" i="27"/>
  <c r="X158" i="27"/>
  <c r="Y158" i="27"/>
  <c r="Z158" i="27"/>
  <c r="AA158" i="27"/>
  <c r="O158" i="27"/>
  <c r="O157" i="27"/>
  <c r="O156" i="27"/>
  <c r="O155" i="27"/>
  <c r="Y124" i="27"/>
  <c r="Z124" i="27"/>
  <c r="AA124" i="27"/>
  <c r="Y125" i="27"/>
  <c r="Z125" i="27"/>
  <c r="AA125" i="27"/>
  <c r="O125" i="27"/>
  <c r="Y123" i="27"/>
  <c r="Z123" i="27"/>
  <c r="AA123" i="27"/>
  <c r="Y128" i="27"/>
  <c r="Z128" i="27"/>
  <c r="AA128" i="27"/>
  <c r="AB128" i="27"/>
  <c r="O128" i="27"/>
  <c r="Y166" i="27"/>
  <c r="Z166" i="27"/>
  <c r="AA166" i="27"/>
  <c r="O166" i="27"/>
  <c r="Z165" i="27"/>
  <c r="AA165" i="27"/>
  <c r="O165" i="27"/>
  <c r="O163" i="27"/>
  <c r="O162" i="27"/>
  <c r="AA140" i="27"/>
  <c r="O140" i="27"/>
  <c r="Z160" i="27"/>
  <c r="AA160" i="27"/>
  <c r="O160" i="27"/>
  <c r="AA150" i="27"/>
  <c r="O150" i="27"/>
  <c r="AA172" i="27"/>
  <c r="O172" i="27"/>
  <c r="AA151" i="27"/>
  <c r="O151" i="27"/>
  <c r="O238" i="27"/>
  <c r="O182" i="27"/>
  <c r="O183" i="27"/>
  <c r="O184" i="27"/>
  <c r="O185" i="27"/>
  <c r="R39" i="27"/>
  <c r="S39" i="27"/>
  <c r="T39" i="27"/>
  <c r="U39" i="27"/>
  <c r="V39" i="27"/>
  <c r="W39" i="27"/>
  <c r="X39" i="27"/>
  <c r="Y39" i="27"/>
  <c r="Z39" i="27"/>
  <c r="AA39" i="27"/>
  <c r="R40" i="27"/>
  <c r="S40" i="27"/>
  <c r="T40" i="27"/>
  <c r="U40" i="27"/>
  <c r="V40" i="27"/>
  <c r="W40" i="27"/>
  <c r="X40" i="27"/>
  <c r="Y40" i="27"/>
  <c r="Z40" i="27"/>
  <c r="AA40" i="27"/>
  <c r="Q39" i="27"/>
  <c r="Q40" i="27"/>
  <c r="S34" i="27"/>
  <c r="T34" i="27"/>
  <c r="U34" i="27"/>
  <c r="V34" i="27"/>
  <c r="W34" i="27"/>
  <c r="X34" i="27"/>
  <c r="Y34" i="27"/>
  <c r="Z34" i="27"/>
  <c r="AA34" i="27"/>
  <c r="R35" i="27"/>
  <c r="S35" i="27"/>
  <c r="T35" i="27"/>
  <c r="U35" i="27"/>
  <c r="V35" i="27"/>
  <c r="W35" i="27"/>
  <c r="X35" i="27"/>
  <c r="Y35" i="27"/>
  <c r="Z35" i="27"/>
  <c r="AA35" i="27"/>
  <c r="Q35" i="27"/>
  <c r="Q34" i="27"/>
  <c r="O42" i="29" l="1"/>
  <c r="O43" i="29"/>
  <c r="I18" i="29"/>
  <c r="J10" i="29"/>
  <c r="J7" i="29" s="1"/>
  <c r="S12" i="29"/>
  <c r="O40" i="29"/>
  <c r="T337" i="29"/>
  <c r="S335" i="29"/>
  <c r="Q190" i="29"/>
  <c r="R198" i="29"/>
  <c r="V264" i="29"/>
  <c r="T346" i="29"/>
  <c r="S344" i="29"/>
  <c r="P43" i="29"/>
  <c r="P41" i="29"/>
  <c r="S265" i="29"/>
  <c r="R262" i="29"/>
  <c r="R39" i="29" s="1"/>
  <c r="O273" i="27"/>
  <c r="P273" i="27" s="1"/>
  <c r="Q273" i="27" s="1"/>
  <c r="R273" i="27" s="1"/>
  <c r="S273" i="27" s="1"/>
  <c r="T273" i="27" s="1"/>
  <c r="U273" i="27" s="1"/>
  <c r="V273" i="27" s="1"/>
  <c r="W273" i="27" s="1"/>
  <c r="X273" i="27" s="1"/>
  <c r="Y273" i="27" s="1"/>
  <c r="Z273" i="27" s="1"/>
  <c r="AA273" i="27" s="1"/>
  <c r="G118" i="27"/>
  <c r="E16" i="28" s="1"/>
  <c r="H118" i="27"/>
  <c r="F16" i="28" s="1"/>
  <c r="I118" i="27"/>
  <c r="G16" i="28" s="1"/>
  <c r="J118" i="27"/>
  <c r="H16" i="28" s="1"/>
  <c r="K118" i="27"/>
  <c r="I16" i="28" s="1"/>
  <c r="L118" i="27"/>
  <c r="J16" i="28" s="1"/>
  <c r="M118" i="27"/>
  <c r="K16" i="28" s="1"/>
  <c r="H18" i="29" l="1"/>
  <c r="I10" i="29"/>
  <c r="I7" i="29" s="1"/>
  <c r="T12" i="29"/>
  <c r="P42" i="29"/>
  <c r="P40" i="29"/>
  <c r="T265" i="29"/>
  <c r="S262" i="29"/>
  <c r="S39" i="29" s="1"/>
  <c r="S198" i="29"/>
  <c r="S190" i="29" s="1"/>
  <c r="R190" i="29"/>
  <c r="Q43" i="29"/>
  <c r="Q41" i="29"/>
  <c r="T344" i="29"/>
  <c r="U346" i="29"/>
  <c r="W264" i="29"/>
  <c r="T335" i="29"/>
  <c r="U337" i="29"/>
  <c r="P107" i="27"/>
  <c r="N15" i="28" s="1"/>
  <c r="O107" i="27"/>
  <c r="M15" i="28" s="1"/>
  <c r="P72" i="27"/>
  <c r="N11" i="28" s="1"/>
  <c r="O72" i="27"/>
  <c r="M11" i="28" s="1"/>
  <c r="AA94" i="27"/>
  <c r="Z94" i="27"/>
  <c r="Y94" i="27"/>
  <c r="X94" i="27"/>
  <c r="W94" i="27"/>
  <c r="V94" i="27"/>
  <c r="U94" i="27"/>
  <c r="T94" i="27"/>
  <c r="S94" i="27"/>
  <c r="R94" i="27"/>
  <c r="Q94" i="27"/>
  <c r="P94" i="27"/>
  <c r="AA109" i="27"/>
  <c r="Z109" i="27"/>
  <c r="Y109" i="27"/>
  <c r="X109" i="27"/>
  <c r="W109" i="27"/>
  <c r="V109" i="27"/>
  <c r="V107" i="27" s="1"/>
  <c r="T15" i="28" s="1"/>
  <c r="U109" i="27"/>
  <c r="T109" i="27"/>
  <c r="S109" i="27"/>
  <c r="R109" i="27"/>
  <c r="Q109" i="27"/>
  <c r="N107" i="27"/>
  <c r="L15" i="28" s="1"/>
  <c r="M107" i="27"/>
  <c r="K15" i="28" s="1"/>
  <c r="L107" i="27"/>
  <c r="J15" i="28" s="1"/>
  <c r="K107" i="27"/>
  <c r="I15" i="28" s="1"/>
  <c r="J107" i="27"/>
  <c r="H15" i="28" s="1"/>
  <c r="I107" i="27"/>
  <c r="G15" i="28" s="1"/>
  <c r="H107" i="27"/>
  <c r="F15" i="28" s="1"/>
  <c r="G107" i="27"/>
  <c r="E15" i="28" s="1"/>
  <c r="P92" i="27"/>
  <c r="G76" i="10"/>
  <c r="AA92" i="27"/>
  <c r="Z92" i="27"/>
  <c r="Y92" i="27"/>
  <c r="X92" i="27"/>
  <c r="W92" i="27"/>
  <c r="V92" i="27"/>
  <c r="U92" i="27"/>
  <c r="T92" i="27"/>
  <c r="S92" i="27"/>
  <c r="R92" i="27"/>
  <c r="Q92" i="27"/>
  <c r="AA96" i="27"/>
  <c r="Z96" i="27"/>
  <c r="Y96" i="27"/>
  <c r="X96" i="27"/>
  <c r="W96" i="27"/>
  <c r="V96" i="27"/>
  <c r="U96" i="27"/>
  <c r="T96" i="27"/>
  <c r="S96" i="27"/>
  <c r="R96" i="27"/>
  <c r="Q96" i="27"/>
  <c r="P96" i="27"/>
  <c r="O96" i="27"/>
  <c r="O98" i="27"/>
  <c r="P98" i="27"/>
  <c r="AA98" i="27"/>
  <c r="Z98" i="27"/>
  <c r="Y98" i="27"/>
  <c r="X98" i="27"/>
  <c r="W98" i="27"/>
  <c r="V98" i="27"/>
  <c r="U98" i="27"/>
  <c r="T98" i="27"/>
  <c r="S98" i="27"/>
  <c r="R98" i="27"/>
  <c r="Q98" i="27"/>
  <c r="N90" i="27"/>
  <c r="L12" i="28" s="1"/>
  <c r="M90" i="27"/>
  <c r="K12" i="28" s="1"/>
  <c r="L90" i="27"/>
  <c r="J12" i="28" s="1"/>
  <c r="K90" i="27"/>
  <c r="I12" i="28" s="1"/>
  <c r="J90" i="27"/>
  <c r="H12" i="28" s="1"/>
  <c r="I90" i="27"/>
  <c r="G12" i="28" s="1"/>
  <c r="H90" i="27"/>
  <c r="F12" i="28" s="1"/>
  <c r="G90" i="27"/>
  <c r="E12" i="28" s="1"/>
  <c r="Q80" i="27"/>
  <c r="R81" i="27"/>
  <c r="AA81" i="27"/>
  <c r="Z81" i="27"/>
  <c r="Y81" i="27"/>
  <c r="X81" i="27"/>
  <c r="W81" i="27"/>
  <c r="V81" i="27"/>
  <c r="U81" i="27"/>
  <c r="T81" i="27"/>
  <c r="S81" i="27"/>
  <c r="AA80" i="27"/>
  <c r="Z80" i="27"/>
  <c r="Y80" i="27"/>
  <c r="X80" i="27"/>
  <c r="W80" i="27"/>
  <c r="V80" i="27"/>
  <c r="U80" i="27"/>
  <c r="T80" i="27"/>
  <c r="S80" i="27"/>
  <c r="R80" i="27"/>
  <c r="Q78" i="27"/>
  <c r="AA78" i="27"/>
  <c r="Z78" i="27"/>
  <c r="Y78" i="27"/>
  <c r="X78" i="27"/>
  <c r="W78" i="27"/>
  <c r="V78" i="27"/>
  <c r="U78" i="27"/>
  <c r="T78" i="27"/>
  <c r="S78" i="27"/>
  <c r="R78" i="27"/>
  <c r="R76" i="27"/>
  <c r="AA76" i="27"/>
  <c r="Z76" i="27"/>
  <c r="Y76" i="27"/>
  <c r="X76" i="27"/>
  <c r="W76" i="27"/>
  <c r="V76" i="27"/>
  <c r="U76" i="27"/>
  <c r="T76" i="27"/>
  <c r="S76" i="27"/>
  <c r="R74" i="27"/>
  <c r="S74" i="27"/>
  <c r="T74" i="27"/>
  <c r="U74" i="27"/>
  <c r="V74" i="27"/>
  <c r="W74" i="27"/>
  <c r="X74" i="27"/>
  <c r="Y74" i="27"/>
  <c r="Z74" i="27"/>
  <c r="AA74" i="27"/>
  <c r="Q74" i="27"/>
  <c r="N72" i="27"/>
  <c r="L11" i="28" s="1"/>
  <c r="M72" i="27"/>
  <c r="K11" i="28" s="1"/>
  <c r="L72" i="27"/>
  <c r="J11" i="28" s="1"/>
  <c r="K72" i="27"/>
  <c r="I11" i="28" s="1"/>
  <c r="J72" i="27"/>
  <c r="H11" i="28" s="1"/>
  <c r="I72" i="27"/>
  <c r="G11" i="28" s="1"/>
  <c r="H72" i="27"/>
  <c r="F11" i="28" s="1"/>
  <c r="G72" i="27"/>
  <c r="E11" i="28" s="1"/>
  <c r="G18" i="29" l="1"/>
  <c r="G10" i="29" s="1"/>
  <c r="G7" i="29" s="1"/>
  <c r="H10" i="29"/>
  <c r="H7" i="29" s="1"/>
  <c r="U12" i="29"/>
  <c r="U265" i="29"/>
  <c r="T262" i="29"/>
  <c r="T39" i="29" s="1"/>
  <c r="U335" i="29"/>
  <c r="V337" i="29"/>
  <c r="X264" i="29"/>
  <c r="Q40" i="29"/>
  <c r="U344" i="29"/>
  <c r="V346" i="29"/>
  <c r="R43" i="29"/>
  <c r="R41" i="29"/>
  <c r="Q42" i="29"/>
  <c r="T198" i="29"/>
  <c r="T190" i="29" s="1"/>
  <c r="U107" i="27"/>
  <c r="S15" i="28" s="1"/>
  <c r="AA107" i="27"/>
  <c r="Y15" i="28" s="1"/>
  <c r="T107" i="27"/>
  <c r="R15" i="28" s="1"/>
  <c r="Q72" i="27"/>
  <c r="O11" i="28" s="1"/>
  <c r="Z90" i="27"/>
  <c r="X12" i="28" s="1"/>
  <c r="O90" i="27"/>
  <c r="M12" i="28" s="1"/>
  <c r="P90" i="27"/>
  <c r="N12" i="28" s="1"/>
  <c r="X107" i="27"/>
  <c r="V15" i="28" s="1"/>
  <c r="Q107" i="27"/>
  <c r="O15" i="28" s="1"/>
  <c r="R107" i="27"/>
  <c r="P15" i="28" s="1"/>
  <c r="Z107" i="27"/>
  <c r="X15" i="28" s="1"/>
  <c r="Q90" i="27"/>
  <c r="O12" i="28" s="1"/>
  <c r="S107" i="27"/>
  <c r="Q15" i="28" s="1"/>
  <c r="Y107" i="27"/>
  <c r="W15" i="28" s="1"/>
  <c r="W107" i="27"/>
  <c r="U15" i="28" s="1"/>
  <c r="AA32" i="27"/>
  <c r="Z32" i="27"/>
  <c r="Y32" i="27"/>
  <c r="X32" i="27"/>
  <c r="W32" i="27"/>
  <c r="V32" i="27"/>
  <c r="U32" i="27"/>
  <c r="T32" i="27"/>
  <c r="P32" i="27"/>
  <c r="AA31" i="27"/>
  <c r="Z31" i="27"/>
  <c r="Y31" i="27"/>
  <c r="X31" i="27"/>
  <c r="W31" i="27"/>
  <c r="V31" i="27"/>
  <c r="U31" i="27"/>
  <c r="P31" i="27"/>
  <c r="AA30" i="27"/>
  <c r="Z30" i="27"/>
  <c r="Y30" i="27"/>
  <c r="X30" i="27"/>
  <c r="W30" i="27"/>
  <c r="V30" i="27"/>
  <c r="P30" i="27"/>
  <c r="P41" i="27"/>
  <c r="AA42" i="27"/>
  <c r="Z42" i="27"/>
  <c r="Y42" i="27"/>
  <c r="X42" i="27"/>
  <c r="W42" i="27"/>
  <c r="V42" i="27"/>
  <c r="U42" i="27"/>
  <c r="T42" i="27"/>
  <c r="S42" i="27"/>
  <c r="R42" i="27"/>
  <c r="Q42" i="27"/>
  <c r="P42" i="27"/>
  <c r="AA41" i="27"/>
  <c r="Z41" i="27"/>
  <c r="Y41" i="27"/>
  <c r="X41" i="27"/>
  <c r="W41" i="27"/>
  <c r="V41" i="27"/>
  <c r="U41" i="27"/>
  <c r="T41" i="27"/>
  <c r="S41" i="27"/>
  <c r="R41" i="27"/>
  <c r="Q41" i="27"/>
  <c r="P37" i="27"/>
  <c r="Q37" i="27"/>
  <c r="R37" i="27"/>
  <c r="S37" i="27"/>
  <c r="T37" i="27"/>
  <c r="U37" i="27"/>
  <c r="V37" i="27"/>
  <c r="W37" i="27"/>
  <c r="X37" i="27"/>
  <c r="Y37" i="27"/>
  <c r="Z37" i="27"/>
  <c r="AA37" i="27"/>
  <c r="Q36" i="27"/>
  <c r="R36" i="27"/>
  <c r="S36" i="27"/>
  <c r="T36" i="27"/>
  <c r="U36" i="27"/>
  <c r="V36" i="27"/>
  <c r="W36" i="27"/>
  <c r="X36" i="27"/>
  <c r="Y36" i="27"/>
  <c r="Z36" i="27"/>
  <c r="AA36" i="27"/>
  <c r="P36" i="27"/>
  <c r="R56" i="27"/>
  <c r="AA56" i="27"/>
  <c r="Z56" i="27"/>
  <c r="Y56" i="27"/>
  <c r="X56" i="27"/>
  <c r="W56" i="27"/>
  <c r="V56" i="27"/>
  <c r="U56" i="27"/>
  <c r="T56" i="27"/>
  <c r="S56" i="27"/>
  <c r="AA54" i="27"/>
  <c r="Z54" i="27"/>
  <c r="Y54" i="27"/>
  <c r="X54" i="27"/>
  <c r="W54" i="27"/>
  <c r="V54" i="27"/>
  <c r="U54" i="27"/>
  <c r="T54" i="27"/>
  <c r="S54" i="27"/>
  <c r="R54" i="27"/>
  <c r="AA52" i="27"/>
  <c r="Z52" i="27"/>
  <c r="Y52" i="27"/>
  <c r="X52" i="27"/>
  <c r="W52" i="27"/>
  <c r="V52" i="27"/>
  <c r="U52" i="27"/>
  <c r="T52" i="27"/>
  <c r="S52" i="27"/>
  <c r="R52" i="27"/>
  <c r="R50" i="27"/>
  <c r="S50" i="27"/>
  <c r="T50" i="27"/>
  <c r="U50" i="27"/>
  <c r="V50" i="27"/>
  <c r="W50" i="27"/>
  <c r="X50" i="27"/>
  <c r="Y50" i="27"/>
  <c r="Z50" i="27"/>
  <c r="AA50" i="27"/>
  <c r="Q48" i="27"/>
  <c r="R48" i="27"/>
  <c r="S48" i="27"/>
  <c r="T48" i="27"/>
  <c r="U48" i="27"/>
  <c r="V48" i="27"/>
  <c r="W48" i="27"/>
  <c r="X48" i="27"/>
  <c r="Y48" i="27"/>
  <c r="Z48" i="27"/>
  <c r="AA48" i="27"/>
  <c r="P47" i="27"/>
  <c r="Q47" i="27"/>
  <c r="R47" i="27"/>
  <c r="S47" i="27"/>
  <c r="T47" i="27"/>
  <c r="U47" i="27"/>
  <c r="V47" i="27"/>
  <c r="W47" i="27"/>
  <c r="X47" i="27"/>
  <c r="Y47" i="27"/>
  <c r="Z47" i="27"/>
  <c r="AA47" i="27"/>
  <c r="O47" i="27"/>
  <c r="O45" i="27" s="1"/>
  <c r="M9" i="28" s="1"/>
  <c r="P48" i="27"/>
  <c r="G190" i="27"/>
  <c r="E8" i="28" s="1"/>
  <c r="R28" i="27" l="1"/>
  <c r="P17" i="28" s="1"/>
  <c r="Z45" i="27"/>
  <c r="X9" i="28" s="1"/>
  <c r="AA28" i="27"/>
  <c r="Y17" i="28" s="1"/>
  <c r="Q28" i="27"/>
  <c r="O17" i="28" s="1"/>
  <c r="X28" i="27"/>
  <c r="V17" i="28" s="1"/>
  <c r="P28" i="27"/>
  <c r="N17" i="28" s="1"/>
  <c r="Y28" i="27"/>
  <c r="W17" i="28" s="1"/>
  <c r="U28" i="27"/>
  <c r="S17" i="28" s="1"/>
  <c r="W28" i="27"/>
  <c r="U17" i="28" s="1"/>
  <c r="V28" i="27"/>
  <c r="T17" i="28" s="1"/>
  <c r="Z28" i="27"/>
  <c r="X17" i="28" s="1"/>
  <c r="V12" i="29"/>
  <c r="R42" i="29"/>
  <c r="U198" i="29"/>
  <c r="V265" i="29"/>
  <c r="U262" i="29"/>
  <c r="U39" i="29" s="1"/>
  <c r="S43" i="29"/>
  <c r="S41" i="29"/>
  <c r="W337" i="29"/>
  <c r="V335" i="29"/>
  <c r="W346" i="29"/>
  <c r="V344" i="29"/>
  <c r="Y264" i="29"/>
  <c r="R40" i="29"/>
  <c r="AA45" i="27"/>
  <c r="Y9" i="28" s="1"/>
  <c r="R45" i="27"/>
  <c r="P9" i="28" s="1"/>
  <c r="U45" i="27"/>
  <c r="S9" i="28" s="1"/>
  <c r="Q45" i="27"/>
  <c r="O9" i="28" s="1"/>
  <c r="P45" i="27"/>
  <c r="N9" i="28" s="1"/>
  <c r="V45" i="27"/>
  <c r="T9" i="28" s="1"/>
  <c r="Y45" i="27"/>
  <c r="W9" i="28" s="1"/>
  <c r="W45" i="27"/>
  <c r="U9" i="28" s="1"/>
  <c r="X45" i="27"/>
  <c r="V9" i="28" s="1"/>
  <c r="T45" i="27"/>
  <c r="R9" i="28" s="1"/>
  <c r="S45" i="27"/>
  <c r="Q9" i="28" s="1"/>
  <c r="W12" i="29" l="1"/>
  <c r="S42" i="29"/>
  <c r="S40" i="29"/>
  <c r="T43" i="29"/>
  <c r="T41" i="29"/>
  <c r="V198" i="29"/>
  <c r="U190" i="29"/>
  <c r="Z264" i="29"/>
  <c r="X346" i="29"/>
  <c r="W344" i="29"/>
  <c r="X337" i="29"/>
  <c r="W335" i="29"/>
  <c r="W265" i="29"/>
  <c r="V262" i="29"/>
  <c r="V39" i="29" s="1"/>
  <c r="O227" i="27"/>
  <c r="P227" i="27" s="1"/>
  <c r="Q227" i="27" s="1"/>
  <c r="R227" i="27" s="1"/>
  <c r="S227" i="27" s="1"/>
  <c r="T227" i="27" s="1"/>
  <c r="U227" i="27" s="1"/>
  <c r="V227" i="27" s="1"/>
  <c r="W227" i="27" s="1"/>
  <c r="X227" i="27" s="1"/>
  <c r="Y227" i="27" s="1"/>
  <c r="Z227" i="27" s="1"/>
  <c r="AA227" i="27" s="1"/>
  <c r="P133" i="27"/>
  <c r="Q133" i="27" s="1"/>
  <c r="R133" i="27" s="1"/>
  <c r="S133" i="27" s="1"/>
  <c r="T133" i="27" s="1"/>
  <c r="U133" i="27" s="1"/>
  <c r="V133" i="27" s="1"/>
  <c r="W133" i="27" s="1"/>
  <c r="X133" i="27" s="1"/>
  <c r="Y133" i="27" s="1"/>
  <c r="Z133" i="27" s="1"/>
  <c r="AA133" i="27" s="1"/>
  <c r="P132" i="27"/>
  <c r="Q132" i="27" s="1"/>
  <c r="R132" i="27" s="1"/>
  <c r="S132" i="27" s="1"/>
  <c r="T132" i="27" s="1"/>
  <c r="U132" i="27" s="1"/>
  <c r="V132" i="27" s="1"/>
  <c r="W132" i="27" s="1"/>
  <c r="X132" i="27" s="1"/>
  <c r="Y132" i="27" s="1"/>
  <c r="Z132" i="27" s="1"/>
  <c r="AA132" i="27" s="1"/>
  <c r="O272" i="27"/>
  <c r="O270" i="27" s="1"/>
  <c r="M10" i="28" s="1"/>
  <c r="O267" i="27"/>
  <c r="P267" i="27" s="1"/>
  <c r="Q267" i="27" s="1"/>
  <c r="R267" i="27" s="1"/>
  <c r="S267" i="27" s="1"/>
  <c r="T267" i="27" s="1"/>
  <c r="U267" i="27" s="1"/>
  <c r="V267" i="27" s="1"/>
  <c r="W267" i="27" s="1"/>
  <c r="X267" i="27" s="1"/>
  <c r="Y267" i="27" s="1"/>
  <c r="Z267" i="27" s="1"/>
  <c r="AA267" i="27" s="1"/>
  <c r="O265" i="27"/>
  <c r="P265" i="27" s="1"/>
  <c r="Q265" i="27" s="1"/>
  <c r="R265" i="27" s="1"/>
  <c r="S265" i="27" s="1"/>
  <c r="T265" i="27" s="1"/>
  <c r="U265" i="27" s="1"/>
  <c r="V265" i="27" s="1"/>
  <c r="W265" i="27" s="1"/>
  <c r="X265" i="27" s="1"/>
  <c r="Y265" i="27" s="1"/>
  <c r="Z265" i="27" s="1"/>
  <c r="AA265" i="27" s="1"/>
  <c r="O264" i="27"/>
  <c r="P264" i="27" s="1"/>
  <c r="O259" i="27"/>
  <c r="P259" i="27" s="1"/>
  <c r="Q259" i="27" s="1"/>
  <c r="R259" i="27" s="1"/>
  <c r="S259" i="27" s="1"/>
  <c r="T259" i="27" s="1"/>
  <c r="U259" i="27" s="1"/>
  <c r="V259" i="27" s="1"/>
  <c r="W259" i="27" s="1"/>
  <c r="X259" i="27" s="1"/>
  <c r="Y259" i="27" s="1"/>
  <c r="Z259" i="27" s="1"/>
  <c r="AA259" i="27" s="1"/>
  <c r="O257" i="27"/>
  <c r="P257" i="27" s="1"/>
  <c r="Q257" i="27" s="1"/>
  <c r="R257" i="27" s="1"/>
  <c r="S257" i="27" s="1"/>
  <c r="T257" i="27" s="1"/>
  <c r="U257" i="27" s="1"/>
  <c r="V257" i="27" s="1"/>
  <c r="W257" i="27" s="1"/>
  <c r="X257" i="27" s="1"/>
  <c r="Y257" i="27" s="1"/>
  <c r="Z257" i="27" s="1"/>
  <c r="AA257" i="27" s="1"/>
  <c r="O255" i="27"/>
  <c r="P255" i="27" s="1"/>
  <c r="Q255" i="27" s="1"/>
  <c r="R255" i="27" s="1"/>
  <c r="S255" i="27" s="1"/>
  <c r="T255" i="27" s="1"/>
  <c r="U255" i="27" s="1"/>
  <c r="V255" i="27" s="1"/>
  <c r="W255" i="27" s="1"/>
  <c r="X255" i="27" s="1"/>
  <c r="Y255" i="27" s="1"/>
  <c r="Z255" i="27" s="1"/>
  <c r="AA255" i="27" s="1"/>
  <c r="O253" i="27"/>
  <c r="P253" i="27" s="1"/>
  <c r="Q253" i="27" s="1"/>
  <c r="R253" i="27" s="1"/>
  <c r="S253" i="27" s="1"/>
  <c r="T253" i="27" s="1"/>
  <c r="U253" i="27" s="1"/>
  <c r="V253" i="27" s="1"/>
  <c r="W253" i="27" s="1"/>
  <c r="X253" i="27" s="1"/>
  <c r="Y253" i="27" s="1"/>
  <c r="Z253" i="27" s="1"/>
  <c r="AA253" i="27" s="1"/>
  <c r="O252" i="27"/>
  <c r="P252" i="27" s="1"/>
  <c r="Q252" i="27" s="1"/>
  <c r="R252" i="27" s="1"/>
  <c r="S252" i="27" s="1"/>
  <c r="T252" i="27" s="1"/>
  <c r="U252" i="27" s="1"/>
  <c r="V252" i="27" s="1"/>
  <c r="W252" i="27" s="1"/>
  <c r="X252" i="27" s="1"/>
  <c r="Y252" i="27" s="1"/>
  <c r="Z252" i="27" s="1"/>
  <c r="AA252" i="27" s="1"/>
  <c r="O250" i="27"/>
  <c r="P250" i="27" s="1"/>
  <c r="Q250" i="27" s="1"/>
  <c r="R250" i="27" s="1"/>
  <c r="S250" i="27" s="1"/>
  <c r="T250" i="27" s="1"/>
  <c r="U250" i="27" s="1"/>
  <c r="V250" i="27" s="1"/>
  <c r="W250" i="27" s="1"/>
  <c r="X250" i="27" s="1"/>
  <c r="Y250" i="27" s="1"/>
  <c r="Z250" i="27" s="1"/>
  <c r="AA250" i="27" s="1"/>
  <c r="O248" i="27"/>
  <c r="P248" i="27" s="1"/>
  <c r="Q248" i="27" s="1"/>
  <c r="R248" i="27" s="1"/>
  <c r="S248" i="27" s="1"/>
  <c r="T248" i="27" s="1"/>
  <c r="U248" i="27" s="1"/>
  <c r="V248" i="27" s="1"/>
  <c r="W248" i="27" s="1"/>
  <c r="X248" i="27" s="1"/>
  <c r="Y248" i="27" s="1"/>
  <c r="Z248" i="27" s="1"/>
  <c r="AA248" i="27" s="1"/>
  <c r="O247" i="27"/>
  <c r="P247" i="27" s="1"/>
  <c r="Q247" i="27" s="1"/>
  <c r="R247" i="27" s="1"/>
  <c r="S247" i="27" s="1"/>
  <c r="T247" i="27" s="1"/>
  <c r="U247" i="27" s="1"/>
  <c r="V247" i="27" s="1"/>
  <c r="W247" i="27" s="1"/>
  <c r="X247" i="27" s="1"/>
  <c r="Y247" i="27" s="1"/>
  <c r="Z247" i="27" s="1"/>
  <c r="AA247" i="27" s="1"/>
  <c r="O245" i="27"/>
  <c r="P245" i="27" s="1"/>
  <c r="Q245" i="27" s="1"/>
  <c r="R245" i="27" s="1"/>
  <c r="S245" i="27" s="1"/>
  <c r="T245" i="27" s="1"/>
  <c r="U245" i="27" s="1"/>
  <c r="V245" i="27" s="1"/>
  <c r="W245" i="27" s="1"/>
  <c r="X245" i="27" s="1"/>
  <c r="Y245" i="27" s="1"/>
  <c r="Z245" i="27" s="1"/>
  <c r="AA245" i="27" s="1"/>
  <c r="O243" i="27"/>
  <c r="P243" i="27" s="1"/>
  <c r="Q243" i="27" s="1"/>
  <c r="R243" i="27" s="1"/>
  <c r="S243" i="27" s="1"/>
  <c r="T243" i="27" s="1"/>
  <c r="U243" i="27" s="1"/>
  <c r="V243" i="27" s="1"/>
  <c r="W243" i="27" s="1"/>
  <c r="X243" i="27" s="1"/>
  <c r="Y243" i="27" s="1"/>
  <c r="Z243" i="27" s="1"/>
  <c r="AA243" i="27" s="1"/>
  <c r="O242" i="27"/>
  <c r="P242" i="27" s="1"/>
  <c r="Q242" i="27" s="1"/>
  <c r="R242" i="27" s="1"/>
  <c r="S242" i="27" s="1"/>
  <c r="T242" i="27" s="1"/>
  <c r="U242" i="27" s="1"/>
  <c r="V242" i="27" s="1"/>
  <c r="W242" i="27" s="1"/>
  <c r="X242" i="27" s="1"/>
  <c r="Y242" i="27" s="1"/>
  <c r="Z242" i="27" s="1"/>
  <c r="AA242" i="27" s="1"/>
  <c r="O240" i="27"/>
  <c r="P240" i="27" s="1"/>
  <c r="Q240" i="27" s="1"/>
  <c r="R240" i="27" s="1"/>
  <c r="S240" i="27" s="1"/>
  <c r="T240" i="27" s="1"/>
  <c r="U240" i="27" s="1"/>
  <c r="V240" i="27" s="1"/>
  <c r="W240" i="27" s="1"/>
  <c r="X240" i="27" s="1"/>
  <c r="Y240" i="27" s="1"/>
  <c r="Z240" i="27" s="1"/>
  <c r="AA240" i="27" s="1"/>
  <c r="P238" i="27"/>
  <c r="Q238" i="27" s="1"/>
  <c r="R238" i="27" s="1"/>
  <c r="S238" i="27" s="1"/>
  <c r="T238" i="27" s="1"/>
  <c r="U238" i="27" s="1"/>
  <c r="V238" i="27" s="1"/>
  <c r="W238" i="27" s="1"/>
  <c r="X238" i="27" s="1"/>
  <c r="Y238" i="27" s="1"/>
  <c r="Z238" i="27" s="1"/>
  <c r="AA238" i="27" s="1"/>
  <c r="O236" i="27"/>
  <c r="P236" i="27" s="1"/>
  <c r="Q236" i="27" s="1"/>
  <c r="R236" i="27" s="1"/>
  <c r="S236" i="27" s="1"/>
  <c r="T236" i="27" s="1"/>
  <c r="U236" i="27" s="1"/>
  <c r="V236" i="27" s="1"/>
  <c r="W236" i="27" s="1"/>
  <c r="X236" i="27" s="1"/>
  <c r="Y236" i="27" s="1"/>
  <c r="Z236" i="27" s="1"/>
  <c r="AA236" i="27" s="1"/>
  <c r="O235" i="27"/>
  <c r="P235" i="27" s="1"/>
  <c r="Q235" i="27" s="1"/>
  <c r="R235" i="27" s="1"/>
  <c r="S235" i="27" s="1"/>
  <c r="T235" i="27" s="1"/>
  <c r="U235" i="27" s="1"/>
  <c r="V235" i="27" s="1"/>
  <c r="W235" i="27" s="1"/>
  <c r="X235" i="27" s="1"/>
  <c r="Y235" i="27" s="1"/>
  <c r="Z235" i="27" s="1"/>
  <c r="AA235" i="27" s="1"/>
  <c r="O233" i="27"/>
  <c r="P233" i="27" s="1"/>
  <c r="Q233" i="27" s="1"/>
  <c r="R233" i="27" s="1"/>
  <c r="S233" i="27" s="1"/>
  <c r="T233" i="27" s="1"/>
  <c r="U233" i="27" s="1"/>
  <c r="V233" i="27" s="1"/>
  <c r="W233" i="27" s="1"/>
  <c r="X233" i="27" s="1"/>
  <c r="Y233" i="27" s="1"/>
  <c r="Z233" i="27" s="1"/>
  <c r="AA233" i="27" s="1"/>
  <c r="O231" i="27"/>
  <c r="P231" i="27" s="1"/>
  <c r="Q231" i="27" s="1"/>
  <c r="R231" i="27" s="1"/>
  <c r="S231" i="27" s="1"/>
  <c r="T231" i="27" s="1"/>
  <c r="U231" i="27" s="1"/>
  <c r="V231" i="27" s="1"/>
  <c r="W231" i="27" s="1"/>
  <c r="X231" i="27" s="1"/>
  <c r="Y231" i="27" s="1"/>
  <c r="Z231" i="27" s="1"/>
  <c r="AA231" i="27" s="1"/>
  <c r="O229" i="27"/>
  <c r="P229" i="27" s="1"/>
  <c r="Q229" i="27" s="1"/>
  <c r="R229" i="27" s="1"/>
  <c r="S229" i="27" s="1"/>
  <c r="T229" i="27" s="1"/>
  <c r="U229" i="27" s="1"/>
  <c r="V229" i="27" s="1"/>
  <c r="W229" i="27" s="1"/>
  <c r="X229" i="27" s="1"/>
  <c r="Y229" i="27" s="1"/>
  <c r="Z229" i="27" s="1"/>
  <c r="AA229" i="27" s="1"/>
  <c r="O226" i="27"/>
  <c r="P226" i="27" s="1"/>
  <c r="Q226" i="27" s="1"/>
  <c r="R226" i="27" s="1"/>
  <c r="S226" i="27" s="1"/>
  <c r="T226" i="27" s="1"/>
  <c r="U226" i="27" s="1"/>
  <c r="V226" i="27" s="1"/>
  <c r="W226" i="27" s="1"/>
  <c r="X226" i="27" s="1"/>
  <c r="Y226" i="27" s="1"/>
  <c r="Z226" i="27" s="1"/>
  <c r="AA226" i="27" s="1"/>
  <c r="O224" i="27"/>
  <c r="P224" i="27" s="1"/>
  <c r="Q224" i="27" s="1"/>
  <c r="R224" i="27" s="1"/>
  <c r="S224" i="27" s="1"/>
  <c r="T224" i="27" s="1"/>
  <c r="U224" i="27" s="1"/>
  <c r="V224" i="27" s="1"/>
  <c r="W224" i="27" s="1"/>
  <c r="X224" i="27" s="1"/>
  <c r="Y224" i="27" s="1"/>
  <c r="Z224" i="27" s="1"/>
  <c r="AA224" i="27" s="1"/>
  <c r="O223" i="27"/>
  <c r="P223" i="27" s="1"/>
  <c r="Q223" i="27" s="1"/>
  <c r="R223" i="27" s="1"/>
  <c r="S223" i="27" s="1"/>
  <c r="T223" i="27" s="1"/>
  <c r="U223" i="27" s="1"/>
  <c r="V223" i="27" s="1"/>
  <c r="W223" i="27" s="1"/>
  <c r="X223" i="27" s="1"/>
  <c r="Y223" i="27" s="1"/>
  <c r="Z223" i="27" s="1"/>
  <c r="AA223" i="27" s="1"/>
  <c r="O217" i="27"/>
  <c r="P217" i="27" s="1"/>
  <c r="Q217" i="27" s="1"/>
  <c r="R217" i="27" s="1"/>
  <c r="S217" i="27" s="1"/>
  <c r="T217" i="27" s="1"/>
  <c r="U217" i="27" s="1"/>
  <c r="V217" i="27" s="1"/>
  <c r="W217" i="27" s="1"/>
  <c r="X217" i="27" s="1"/>
  <c r="Y217" i="27" s="1"/>
  <c r="Z217" i="27" s="1"/>
  <c r="AA217" i="27" s="1"/>
  <c r="O221" i="27"/>
  <c r="P221" i="27" s="1"/>
  <c r="Q221" i="27" s="1"/>
  <c r="R221" i="27" s="1"/>
  <c r="S221" i="27" s="1"/>
  <c r="T221" i="27" s="1"/>
  <c r="U221" i="27" s="1"/>
  <c r="V221" i="27" s="1"/>
  <c r="W221" i="27" s="1"/>
  <c r="X221" i="27" s="1"/>
  <c r="Y221" i="27" s="1"/>
  <c r="Z221" i="27" s="1"/>
  <c r="AA221" i="27" s="1"/>
  <c r="O220" i="27"/>
  <c r="P220" i="27" s="1"/>
  <c r="Q220" i="27" s="1"/>
  <c r="R220" i="27" s="1"/>
  <c r="S220" i="27" s="1"/>
  <c r="T220" i="27" s="1"/>
  <c r="U220" i="27" s="1"/>
  <c r="V220" i="27" s="1"/>
  <c r="W220" i="27" s="1"/>
  <c r="X220" i="27" s="1"/>
  <c r="Y220" i="27" s="1"/>
  <c r="Z220" i="27" s="1"/>
  <c r="AA220" i="27" s="1"/>
  <c r="O219" i="27"/>
  <c r="P219" i="27" s="1"/>
  <c r="Q219" i="27" s="1"/>
  <c r="R219" i="27" s="1"/>
  <c r="S219" i="27" s="1"/>
  <c r="T219" i="27" s="1"/>
  <c r="U219" i="27" s="1"/>
  <c r="V219" i="27" s="1"/>
  <c r="W219" i="27" s="1"/>
  <c r="X219" i="27" s="1"/>
  <c r="Y219" i="27" s="1"/>
  <c r="Z219" i="27" s="1"/>
  <c r="AA219" i="27" s="1"/>
  <c r="O218" i="27"/>
  <c r="P218" i="27" s="1"/>
  <c r="Q218" i="27" s="1"/>
  <c r="R218" i="27" s="1"/>
  <c r="S218" i="27" s="1"/>
  <c r="T218" i="27" s="1"/>
  <c r="U218" i="27" s="1"/>
  <c r="V218" i="27" s="1"/>
  <c r="W218" i="27" s="1"/>
  <c r="X218" i="27" s="1"/>
  <c r="Y218" i="27" s="1"/>
  <c r="Z218" i="27" s="1"/>
  <c r="AA218" i="27" s="1"/>
  <c r="O215" i="27"/>
  <c r="P215" i="27" s="1"/>
  <c r="Q215" i="27" s="1"/>
  <c r="R215" i="27" s="1"/>
  <c r="S215" i="27" s="1"/>
  <c r="T215" i="27" s="1"/>
  <c r="U215" i="27" s="1"/>
  <c r="V215" i="27" s="1"/>
  <c r="W215" i="27" s="1"/>
  <c r="X215" i="27" s="1"/>
  <c r="Y215" i="27" s="1"/>
  <c r="Z215" i="27" s="1"/>
  <c r="AA215" i="27" s="1"/>
  <c r="O213" i="27"/>
  <c r="P213" i="27" s="1"/>
  <c r="Q213" i="27" s="1"/>
  <c r="R213" i="27" s="1"/>
  <c r="S213" i="27" s="1"/>
  <c r="T213" i="27" s="1"/>
  <c r="U213" i="27" s="1"/>
  <c r="V213" i="27" s="1"/>
  <c r="W213" i="27" s="1"/>
  <c r="X213" i="27" s="1"/>
  <c r="Y213" i="27" s="1"/>
  <c r="Z213" i="27" s="1"/>
  <c r="AA213" i="27" s="1"/>
  <c r="O212" i="27"/>
  <c r="P212" i="27" s="1"/>
  <c r="Q212" i="27" s="1"/>
  <c r="R212" i="27" s="1"/>
  <c r="S212" i="27" s="1"/>
  <c r="T212" i="27" s="1"/>
  <c r="U212" i="27" s="1"/>
  <c r="V212" i="27" s="1"/>
  <c r="W212" i="27" s="1"/>
  <c r="X212" i="27" s="1"/>
  <c r="Y212" i="27" s="1"/>
  <c r="Z212" i="27" s="1"/>
  <c r="AA212" i="27" s="1"/>
  <c r="O210" i="27"/>
  <c r="O209" i="27"/>
  <c r="P209" i="27" s="1"/>
  <c r="Q209" i="27" s="1"/>
  <c r="R209" i="27" s="1"/>
  <c r="S209" i="27" s="1"/>
  <c r="T209" i="27" s="1"/>
  <c r="U209" i="27" s="1"/>
  <c r="V209" i="27" s="1"/>
  <c r="W209" i="27" s="1"/>
  <c r="X209" i="27" s="1"/>
  <c r="Y209" i="27" s="1"/>
  <c r="Z209" i="27" s="1"/>
  <c r="AA209" i="27" s="1"/>
  <c r="O208" i="27"/>
  <c r="P208" i="27" s="1"/>
  <c r="Q208" i="27" s="1"/>
  <c r="R208" i="27" s="1"/>
  <c r="S208" i="27" s="1"/>
  <c r="T208" i="27" s="1"/>
  <c r="U208" i="27" s="1"/>
  <c r="V208" i="27" s="1"/>
  <c r="W208" i="27" s="1"/>
  <c r="X208" i="27" s="1"/>
  <c r="Y208" i="27" s="1"/>
  <c r="Z208" i="27" s="1"/>
  <c r="AA208" i="27" s="1"/>
  <c r="O206" i="27"/>
  <c r="P206" i="27" s="1"/>
  <c r="Q206" i="27" s="1"/>
  <c r="R206" i="27" s="1"/>
  <c r="S206" i="27" s="1"/>
  <c r="T206" i="27" s="1"/>
  <c r="U206" i="27" s="1"/>
  <c r="V206" i="27" s="1"/>
  <c r="W206" i="27" s="1"/>
  <c r="X206" i="27" s="1"/>
  <c r="Y206" i="27" s="1"/>
  <c r="Z206" i="27" s="1"/>
  <c r="AA206" i="27" s="1"/>
  <c r="O205" i="27"/>
  <c r="P205" i="27" s="1"/>
  <c r="Q205" i="27" s="1"/>
  <c r="R205" i="27" s="1"/>
  <c r="S205" i="27" s="1"/>
  <c r="T205" i="27" s="1"/>
  <c r="U205" i="27" s="1"/>
  <c r="V205" i="27" s="1"/>
  <c r="W205" i="27" s="1"/>
  <c r="X205" i="27" s="1"/>
  <c r="Y205" i="27" s="1"/>
  <c r="Z205" i="27" s="1"/>
  <c r="AA205" i="27" s="1"/>
  <c r="O203" i="27"/>
  <c r="P203" i="27" s="1"/>
  <c r="Q203" i="27" s="1"/>
  <c r="R203" i="27" s="1"/>
  <c r="S203" i="27" s="1"/>
  <c r="T203" i="27" s="1"/>
  <c r="U203" i="27" s="1"/>
  <c r="V203" i="27" s="1"/>
  <c r="W203" i="27" s="1"/>
  <c r="X203" i="27" s="1"/>
  <c r="Y203" i="27" s="1"/>
  <c r="Z203" i="27" s="1"/>
  <c r="AA203" i="27" s="1"/>
  <c r="O201" i="27"/>
  <c r="P201" i="27" s="1"/>
  <c r="Q201" i="27" s="1"/>
  <c r="R201" i="27" s="1"/>
  <c r="S201" i="27" s="1"/>
  <c r="T201" i="27" s="1"/>
  <c r="U201" i="27" s="1"/>
  <c r="V201" i="27" s="1"/>
  <c r="W201" i="27" s="1"/>
  <c r="X201" i="27" s="1"/>
  <c r="Y201" i="27" s="1"/>
  <c r="Z201" i="27" s="1"/>
  <c r="AA201" i="27" s="1"/>
  <c r="O200" i="27"/>
  <c r="P200" i="27" s="1"/>
  <c r="Q200" i="27" s="1"/>
  <c r="R200" i="27" s="1"/>
  <c r="S200" i="27" s="1"/>
  <c r="T200" i="27" s="1"/>
  <c r="U200" i="27" s="1"/>
  <c r="V200" i="27" s="1"/>
  <c r="W200" i="27" s="1"/>
  <c r="X200" i="27" s="1"/>
  <c r="Y200" i="27" s="1"/>
  <c r="Z200" i="27" s="1"/>
  <c r="AA200" i="27" s="1"/>
  <c r="O198" i="27"/>
  <c r="P198" i="27" s="1"/>
  <c r="Q198" i="27" s="1"/>
  <c r="R198" i="27" s="1"/>
  <c r="S198" i="27" s="1"/>
  <c r="T198" i="27" s="1"/>
  <c r="U198" i="27" s="1"/>
  <c r="V198" i="27" s="1"/>
  <c r="W198" i="27" s="1"/>
  <c r="X198" i="27" s="1"/>
  <c r="Y198" i="27" s="1"/>
  <c r="Z198" i="27" s="1"/>
  <c r="AA198" i="27" s="1"/>
  <c r="O197" i="27"/>
  <c r="P197" i="27" s="1"/>
  <c r="Q197" i="27" s="1"/>
  <c r="R197" i="27" s="1"/>
  <c r="S197" i="27" s="1"/>
  <c r="T197" i="27" s="1"/>
  <c r="U197" i="27" s="1"/>
  <c r="V197" i="27" s="1"/>
  <c r="W197" i="27" s="1"/>
  <c r="X197" i="27" s="1"/>
  <c r="Y197" i="27" s="1"/>
  <c r="Z197" i="27" s="1"/>
  <c r="AA197" i="27" s="1"/>
  <c r="O196" i="27"/>
  <c r="P196" i="27" s="1"/>
  <c r="Q196" i="27" s="1"/>
  <c r="R196" i="27" s="1"/>
  <c r="S196" i="27" s="1"/>
  <c r="T196" i="27" s="1"/>
  <c r="U196" i="27" s="1"/>
  <c r="V196" i="27" s="1"/>
  <c r="W196" i="27" s="1"/>
  <c r="X196" i="27" s="1"/>
  <c r="Y196" i="27" s="1"/>
  <c r="Z196" i="27" s="1"/>
  <c r="AA196" i="27" s="1"/>
  <c r="O194" i="27"/>
  <c r="P194" i="27" s="1"/>
  <c r="Q194" i="27" s="1"/>
  <c r="R194" i="27" s="1"/>
  <c r="S194" i="27" s="1"/>
  <c r="T194" i="27" s="1"/>
  <c r="U194" i="27" s="1"/>
  <c r="V194" i="27" s="1"/>
  <c r="W194" i="27" s="1"/>
  <c r="X194" i="27" s="1"/>
  <c r="Y194" i="27" s="1"/>
  <c r="Z194" i="27" s="1"/>
  <c r="AA194" i="27" s="1"/>
  <c r="O193" i="27"/>
  <c r="P193" i="27" s="1"/>
  <c r="Q193" i="27" s="1"/>
  <c r="P192" i="27"/>
  <c r="Q192" i="27" s="1"/>
  <c r="R192" i="27" s="1"/>
  <c r="S192" i="27" s="1"/>
  <c r="O171" i="27"/>
  <c r="O170" i="27"/>
  <c r="O169" i="27"/>
  <c r="O168" i="27"/>
  <c r="O154" i="27"/>
  <c r="O134" i="27"/>
  <c r="O130" i="27"/>
  <c r="O127" i="27"/>
  <c r="O126" i="27"/>
  <c r="P9" i="27"/>
  <c r="Q9" i="27"/>
  <c r="R9" i="27"/>
  <c r="S9" i="27"/>
  <c r="T9" i="27"/>
  <c r="U9" i="27"/>
  <c r="V9" i="27"/>
  <c r="W9" i="27"/>
  <c r="X9" i="27"/>
  <c r="Y9" i="27"/>
  <c r="Z9" i="27"/>
  <c r="AA9" i="27"/>
  <c r="O9" i="27"/>
  <c r="X12" i="29" l="1"/>
  <c r="T42" i="29"/>
  <c r="V190" i="29"/>
  <c r="W198" i="29"/>
  <c r="AA264" i="29"/>
  <c r="X335" i="29"/>
  <c r="Y337" i="29"/>
  <c r="X265" i="29"/>
  <c r="W262" i="29"/>
  <c r="W39" i="29" s="1"/>
  <c r="X344" i="29"/>
  <c r="Y346" i="29"/>
  <c r="T40" i="29"/>
  <c r="U43" i="29"/>
  <c r="U41" i="29"/>
  <c r="P134" i="27"/>
  <c r="Q134" i="27" s="1"/>
  <c r="R134" i="27" s="1"/>
  <c r="S134" i="27" s="1"/>
  <c r="T134" i="27" s="1"/>
  <c r="U134" i="27" s="1"/>
  <c r="V134" i="27" s="1"/>
  <c r="W134" i="27" s="1"/>
  <c r="X134" i="27" s="1"/>
  <c r="Y134" i="27" s="1"/>
  <c r="Z134" i="27" s="1"/>
  <c r="AA134" i="27" s="1"/>
  <c r="P130" i="27"/>
  <c r="Q130" i="27" s="1"/>
  <c r="R130" i="27" s="1"/>
  <c r="S130" i="27" s="1"/>
  <c r="T130" i="27" s="1"/>
  <c r="U130" i="27" s="1"/>
  <c r="V130" i="27" s="1"/>
  <c r="W130" i="27" s="1"/>
  <c r="X130" i="27" s="1"/>
  <c r="Y130" i="27" s="1"/>
  <c r="Z130" i="27" s="1"/>
  <c r="AA130" i="27" s="1"/>
  <c r="P126" i="27"/>
  <c r="Q126" i="27" s="1"/>
  <c r="R126" i="27" s="1"/>
  <c r="S126" i="27" s="1"/>
  <c r="T126" i="27" s="1"/>
  <c r="U126" i="27" s="1"/>
  <c r="V126" i="27" s="1"/>
  <c r="W126" i="27" s="1"/>
  <c r="X126" i="27" s="1"/>
  <c r="Y126" i="27" s="1"/>
  <c r="Z126" i="27" s="1"/>
  <c r="AA126" i="27" s="1"/>
  <c r="AB126" i="27"/>
  <c r="P154" i="27"/>
  <c r="Q154" i="27" s="1"/>
  <c r="R154" i="27" s="1"/>
  <c r="S154" i="27" s="1"/>
  <c r="T154" i="27" s="1"/>
  <c r="U154" i="27" s="1"/>
  <c r="V154" i="27" s="1"/>
  <c r="W154" i="27" s="1"/>
  <c r="X154" i="27" s="1"/>
  <c r="Y154" i="27" s="1"/>
  <c r="Z154" i="27" s="1"/>
  <c r="AA154" i="27" s="1"/>
  <c r="AB154" i="27"/>
  <c r="P127" i="27"/>
  <c r="Q127" i="27" s="1"/>
  <c r="R127" i="27" s="1"/>
  <c r="S127" i="27" s="1"/>
  <c r="T127" i="27" s="1"/>
  <c r="U127" i="27" s="1"/>
  <c r="V127" i="27" s="1"/>
  <c r="W127" i="27" s="1"/>
  <c r="X127" i="27" s="1"/>
  <c r="Y127" i="27" s="1"/>
  <c r="Z127" i="27" s="1"/>
  <c r="AA127" i="27" s="1"/>
  <c r="AB127" i="27"/>
  <c r="P262" i="27"/>
  <c r="N13" i="28" s="1"/>
  <c r="P272" i="27"/>
  <c r="O262" i="27"/>
  <c r="M13" i="28" s="1"/>
  <c r="Q264" i="27"/>
  <c r="Q190" i="27"/>
  <c r="O8" i="28" s="1"/>
  <c r="R193" i="27"/>
  <c r="S193" i="27" s="1"/>
  <c r="T193" i="27" s="1"/>
  <c r="U193" i="27" s="1"/>
  <c r="V193" i="27" s="1"/>
  <c r="W193" i="27" s="1"/>
  <c r="X193" i="27" s="1"/>
  <c r="Y193" i="27" s="1"/>
  <c r="Z193" i="27" s="1"/>
  <c r="AA193" i="27" s="1"/>
  <c r="P190" i="27"/>
  <c r="N8" i="28" s="1"/>
  <c r="T192" i="27"/>
  <c r="O190" i="27"/>
  <c r="M8" i="28" s="1"/>
  <c r="Y12" i="29" l="1"/>
  <c r="U42" i="29"/>
  <c r="U40" i="29"/>
  <c r="Y265" i="29"/>
  <c r="X262" i="29"/>
  <c r="X39" i="29" s="1"/>
  <c r="X198" i="29"/>
  <c r="W190" i="29"/>
  <c r="Y344" i="29"/>
  <c r="Z346" i="29"/>
  <c r="Y335" i="29"/>
  <c r="Z337" i="29"/>
  <c r="V43" i="29"/>
  <c r="V41" i="29"/>
  <c r="O13" i="27"/>
  <c r="P118" i="27"/>
  <c r="N16" i="28" s="1"/>
  <c r="Q272" i="27"/>
  <c r="P270" i="27"/>
  <c r="N10" i="28" s="1"/>
  <c r="S190" i="27"/>
  <c r="Q8" i="28" s="1"/>
  <c r="R190" i="27"/>
  <c r="P8" i="28" s="1"/>
  <c r="Q262" i="27"/>
  <c r="O13" i="28" s="1"/>
  <c r="R264" i="27"/>
  <c r="T190" i="27"/>
  <c r="R8" i="28" s="1"/>
  <c r="U192" i="27"/>
  <c r="Q118" i="27"/>
  <c r="O16" i="28" s="1"/>
  <c r="Z12" i="29" l="1"/>
  <c r="V40" i="29"/>
  <c r="Y198" i="29"/>
  <c r="X190" i="29"/>
  <c r="AA337" i="29"/>
  <c r="AA335" i="29" s="1"/>
  <c r="Z335" i="29"/>
  <c r="AA346" i="29"/>
  <c r="AA344" i="29" s="1"/>
  <c r="Z344" i="29"/>
  <c r="V42" i="29"/>
  <c r="W43" i="29"/>
  <c r="W41" i="29"/>
  <c r="Z265" i="29"/>
  <c r="Y262" i="29"/>
  <c r="Y39" i="29" s="1"/>
  <c r="P13" i="27"/>
  <c r="P15" i="27"/>
  <c r="P12" i="27"/>
  <c r="Q15" i="27"/>
  <c r="Q270" i="27"/>
  <c r="O10" i="28" s="1"/>
  <c r="R272" i="27"/>
  <c r="S264" i="27"/>
  <c r="R262" i="27"/>
  <c r="P13" i="28" s="1"/>
  <c r="U190" i="27"/>
  <c r="S8" i="28" s="1"/>
  <c r="V192" i="27"/>
  <c r="AA12" i="29" l="1"/>
  <c r="W42" i="29"/>
  <c r="W40" i="29"/>
  <c r="Y190" i="29"/>
  <c r="Z198" i="29"/>
  <c r="X43" i="29"/>
  <c r="X41" i="29"/>
  <c r="AA265" i="29"/>
  <c r="AA262" i="29" s="1"/>
  <c r="AA39" i="29" s="1"/>
  <c r="Z262" i="29"/>
  <c r="Z39" i="29" s="1"/>
  <c r="R118" i="27"/>
  <c r="P16" i="28" s="1"/>
  <c r="Q13" i="27"/>
  <c r="P16" i="27"/>
  <c r="Q12" i="27"/>
  <c r="P11" i="27"/>
  <c r="P14" i="27"/>
  <c r="S272" i="27"/>
  <c r="R270" i="27"/>
  <c r="P10" i="28" s="1"/>
  <c r="T264" i="27"/>
  <c r="S262" i="27"/>
  <c r="Q13" i="28" s="1"/>
  <c r="V190" i="27"/>
  <c r="T8" i="28" s="1"/>
  <c r="W192" i="27"/>
  <c r="X42" i="29" l="1"/>
  <c r="Y43" i="29"/>
  <c r="Y41" i="29"/>
  <c r="X40" i="29"/>
  <c r="AA198" i="29"/>
  <c r="AA190" i="29" s="1"/>
  <c r="Z190" i="29"/>
  <c r="R15" i="27"/>
  <c r="S118" i="27"/>
  <c r="Q16" i="28" s="1"/>
  <c r="Q16" i="27"/>
  <c r="Q11" i="27"/>
  <c r="Q14" i="27"/>
  <c r="S270" i="27"/>
  <c r="Q10" i="28" s="1"/>
  <c r="T272" i="27"/>
  <c r="U264" i="27"/>
  <c r="T262" i="27"/>
  <c r="R13" i="28" s="1"/>
  <c r="W190" i="27"/>
  <c r="U8" i="28" s="1"/>
  <c r="X192" i="27"/>
  <c r="Y42" i="29" l="1"/>
  <c r="Z43" i="29"/>
  <c r="Z41" i="29"/>
  <c r="Y40" i="29"/>
  <c r="T118" i="27"/>
  <c r="R16" i="28" s="1"/>
  <c r="T270" i="27"/>
  <c r="R10" i="28" s="1"/>
  <c r="U272" i="27"/>
  <c r="V264" i="27"/>
  <c r="U262" i="27"/>
  <c r="S13" i="28" s="1"/>
  <c r="Y192" i="27"/>
  <c r="X190" i="27"/>
  <c r="V8" i="28" s="1"/>
  <c r="Z42" i="29" l="1"/>
  <c r="AA43" i="29"/>
  <c r="AA41" i="29"/>
  <c r="Z40" i="29"/>
  <c r="U270" i="27"/>
  <c r="S10" i="28" s="1"/>
  <c r="V272" i="27"/>
  <c r="W264" i="27"/>
  <c r="V262" i="27"/>
  <c r="T13" i="28" s="1"/>
  <c r="Z192" i="27"/>
  <c r="Y190" i="27"/>
  <c r="W8" i="28" s="1"/>
  <c r="AA40" i="29" l="1"/>
  <c r="AA42" i="29"/>
  <c r="W272" i="27"/>
  <c r="V270" i="27"/>
  <c r="T10" i="28" s="1"/>
  <c r="W262" i="27"/>
  <c r="U13" i="28" s="1"/>
  <c r="X264" i="27"/>
  <c r="AA192" i="27"/>
  <c r="AA190" i="27" s="1"/>
  <c r="Y8" i="28" s="1"/>
  <c r="Z190" i="27"/>
  <c r="X8" i="28" s="1"/>
  <c r="W270" i="27" l="1"/>
  <c r="U10" i="28" s="1"/>
  <c r="X272" i="27"/>
  <c r="X262" i="27"/>
  <c r="V13" i="28" s="1"/>
  <c r="Y264" i="27"/>
  <c r="Y272" i="27" l="1"/>
  <c r="X270" i="27"/>
  <c r="V10" i="28" s="1"/>
  <c r="Y262" i="27"/>
  <c r="W13" i="28" s="1"/>
  <c r="Z264" i="27"/>
  <c r="Z272" i="27" l="1"/>
  <c r="Y270" i="27"/>
  <c r="W10" i="28" s="1"/>
  <c r="AA264" i="27"/>
  <c r="AA262" i="27" s="1"/>
  <c r="Y13" i="28" s="1"/>
  <c r="Z262" i="27"/>
  <c r="X13" i="28" s="1"/>
  <c r="AA118" i="27" l="1"/>
  <c r="AA272" i="27"/>
  <c r="AA270" i="27" s="1"/>
  <c r="Y10" i="28" s="1"/>
  <c r="Z270" i="27"/>
  <c r="X10" i="28" s="1"/>
  <c r="AA15" i="27" l="1"/>
  <c r="Y16" i="28"/>
  <c r="G270" i="27"/>
  <c r="E10" i="28" s="1"/>
  <c r="H270" i="27"/>
  <c r="F10" i="28" s="1"/>
  <c r="I270" i="27"/>
  <c r="G10" i="28" s="1"/>
  <c r="J270" i="27"/>
  <c r="H10" i="28" s="1"/>
  <c r="K270" i="27"/>
  <c r="I10" i="28" s="1"/>
  <c r="L270" i="27"/>
  <c r="J10" i="28" s="1"/>
  <c r="M270" i="27"/>
  <c r="K10" i="28" s="1"/>
  <c r="G262" i="27"/>
  <c r="E13" i="28" s="1"/>
  <c r="H262" i="27"/>
  <c r="F13" i="28" s="1"/>
  <c r="I262" i="27"/>
  <c r="G13" i="28" s="1"/>
  <c r="J262" i="27"/>
  <c r="H13" i="28" s="1"/>
  <c r="K262" i="27"/>
  <c r="I13" i="28" s="1"/>
  <c r="L262" i="27"/>
  <c r="J13" i="28" s="1"/>
  <c r="M262" i="27"/>
  <c r="K13" i="28" s="1"/>
  <c r="H190" i="27"/>
  <c r="F8" i="28" s="1"/>
  <c r="I190" i="27"/>
  <c r="G8" i="28" s="1"/>
  <c r="J190" i="27"/>
  <c r="H8" i="28" s="1"/>
  <c r="K190" i="27"/>
  <c r="I8" i="28" s="1"/>
  <c r="L190" i="27"/>
  <c r="J8" i="28" s="1"/>
  <c r="M190" i="27"/>
  <c r="K8" i="28" s="1"/>
  <c r="N190" i="27"/>
  <c r="L8" i="28" s="1"/>
  <c r="N270" i="27"/>
  <c r="L10" i="28" s="1"/>
  <c r="N262" i="27"/>
  <c r="L13" i="28" s="1"/>
  <c r="L13" i="27" l="1"/>
  <c r="M13" i="27"/>
  <c r="K12" i="27"/>
  <c r="K9" i="27" s="1"/>
  <c r="J13" i="27"/>
  <c r="L12" i="27"/>
  <c r="L9" i="27" s="1"/>
  <c r="K13" i="27"/>
  <c r="J15" i="27"/>
  <c r="J12" i="27"/>
  <c r="J9" i="27" s="1"/>
  <c r="G13" i="27"/>
  <c r="H12" i="27"/>
  <c r="H9" i="27" s="1"/>
  <c r="H13" i="27"/>
  <c r="I15" i="27"/>
  <c r="I12" i="27"/>
  <c r="I9" i="27" s="1"/>
  <c r="G15" i="27"/>
  <c r="G12" i="27"/>
  <c r="G9" i="27" s="1"/>
  <c r="M15" i="27"/>
  <c r="M12" i="27"/>
  <c r="I13" i="27"/>
  <c r="N13" i="27"/>
  <c r="K15" i="27"/>
  <c r="L15" i="27"/>
  <c r="H15" i="27"/>
  <c r="M14" i="27" l="1"/>
  <c r="M9" i="27"/>
  <c r="L14" i="27"/>
  <c r="J14" i="27"/>
  <c r="H14" i="27"/>
  <c r="I14" i="27"/>
  <c r="K14" i="27"/>
  <c r="H16" i="27"/>
  <c r="G14" i="27"/>
  <c r="K16" i="27"/>
  <c r="M16" i="27"/>
  <c r="L16" i="27"/>
  <c r="G16" i="27"/>
  <c r="I16" i="27"/>
  <c r="J16" i="27"/>
  <c r="M17" i="25" l="1"/>
  <c r="M18" i="25"/>
  <c r="M19" i="25"/>
  <c r="M20" i="25"/>
  <c r="M26" i="25"/>
  <c r="M27" i="25"/>
  <c r="M16" i="25"/>
  <c r="L23" i="25"/>
  <c r="M23" i="25" s="1"/>
  <c r="K16" i="25"/>
  <c r="C176" i="24"/>
  <c r="C170" i="24"/>
  <c r="C162" i="24"/>
  <c r="C90" i="24"/>
  <c r="F87" i="24"/>
  <c r="G87" i="24" s="1"/>
  <c r="F86" i="24"/>
  <c r="G86" i="24" s="1"/>
  <c r="F257" i="29" s="1"/>
  <c r="F85" i="24"/>
  <c r="G85" i="24" s="1"/>
  <c r="F256" i="29" s="1"/>
  <c r="F84" i="24"/>
  <c r="G84" i="24" s="1"/>
  <c r="F255" i="29" s="1"/>
  <c r="F83" i="24"/>
  <c r="G83" i="24" s="1"/>
  <c r="F254" i="29" s="1"/>
  <c r="F81" i="24"/>
  <c r="G81" i="24" s="1"/>
  <c r="F252" i="29" s="1"/>
  <c r="F80" i="24"/>
  <c r="G80" i="24" s="1"/>
  <c r="F251" i="29" s="1"/>
  <c r="F79" i="24"/>
  <c r="G79" i="24" s="1"/>
  <c r="F250" i="29" s="1"/>
  <c r="F78" i="24"/>
  <c r="G78" i="24" s="1"/>
  <c r="F249" i="29" s="1"/>
  <c r="F77" i="24"/>
  <c r="G77" i="24" s="1"/>
  <c r="F248" i="29" s="1"/>
  <c r="F76" i="24"/>
  <c r="G76" i="24" s="1"/>
  <c r="F247" i="29" s="1"/>
  <c r="F75" i="24"/>
  <c r="G75" i="24" s="1"/>
  <c r="F246" i="29" s="1"/>
  <c r="F74" i="24"/>
  <c r="G74" i="24" s="1"/>
  <c r="F245" i="29" s="1"/>
  <c r="F73" i="24"/>
  <c r="G73" i="24" s="1"/>
  <c r="F244" i="29" s="1"/>
  <c r="F72" i="24"/>
  <c r="G72" i="24" s="1"/>
  <c r="F243" i="29" s="1"/>
  <c r="F71" i="24"/>
  <c r="G71" i="24" s="1"/>
  <c r="F242" i="29" s="1"/>
  <c r="F70" i="24"/>
  <c r="G70" i="24" s="1"/>
  <c r="F241" i="29" s="1"/>
  <c r="F69" i="24"/>
  <c r="G69" i="24" s="1"/>
  <c r="F240" i="29" s="1"/>
  <c r="F67" i="24"/>
  <c r="G67" i="24" s="1"/>
  <c r="F238" i="29" s="1"/>
  <c r="F66" i="24"/>
  <c r="G66" i="24" s="1"/>
  <c r="F237" i="29" s="1"/>
  <c r="F64" i="24"/>
  <c r="G64" i="24" s="1"/>
  <c r="F235" i="29" s="1"/>
  <c r="F63" i="24"/>
  <c r="G63" i="24" s="1"/>
  <c r="F234" i="29" s="1"/>
  <c r="F61" i="24"/>
  <c r="G61" i="24" s="1"/>
  <c r="F232" i="29" s="1"/>
  <c r="F59" i="24"/>
  <c r="G59" i="24" s="1"/>
  <c r="F230" i="29" s="1"/>
  <c r="F58" i="24"/>
  <c r="G58" i="24" s="1"/>
  <c r="F229" i="29" s="1"/>
  <c r="F57" i="24"/>
  <c r="G57" i="24" s="1"/>
  <c r="F228" i="29" s="1"/>
  <c r="F56" i="24"/>
  <c r="G56" i="24" s="1"/>
  <c r="F227" i="29" s="1"/>
  <c r="F55" i="24"/>
  <c r="G55" i="24" s="1"/>
  <c r="F225" i="29" s="1"/>
  <c r="F54" i="24"/>
  <c r="G54" i="24" s="1"/>
  <c r="F224" i="29" s="1"/>
  <c r="F53" i="24"/>
  <c r="G53" i="24" s="1"/>
  <c r="F223" i="29" s="1"/>
  <c r="F52" i="24"/>
  <c r="G52" i="24" s="1"/>
  <c r="F222" i="29" s="1"/>
  <c r="F50" i="24"/>
  <c r="G50" i="24" s="1"/>
  <c r="F220" i="29" s="1"/>
  <c r="F49" i="24"/>
  <c r="G49" i="24" s="1"/>
  <c r="F219" i="29" s="1"/>
  <c r="F48" i="24"/>
  <c r="G48" i="24" s="1"/>
  <c r="F218" i="29" s="1"/>
  <c r="F47" i="24"/>
  <c r="G47" i="24" s="1"/>
  <c r="F217" i="29" s="1"/>
  <c r="F45" i="24"/>
  <c r="G45" i="24" s="1"/>
  <c r="F215" i="29" s="1"/>
  <c r="F44" i="24"/>
  <c r="G44" i="24" s="1"/>
  <c r="F43" i="24"/>
  <c r="G43" i="24" s="1"/>
  <c r="F42" i="24"/>
  <c r="G42" i="24" s="1"/>
  <c r="F212" i="29" s="1"/>
  <c r="F41" i="24"/>
  <c r="G41" i="24" s="1"/>
  <c r="F211" i="29" s="1"/>
  <c r="F40" i="24"/>
  <c r="G40" i="24" s="1"/>
  <c r="F210" i="29" s="1"/>
  <c r="F39" i="24"/>
  <c r="G39" i="24" s="1"/>
  <c r="F209" i="29" s="1"/>
  <c r="F37" i="24"/>
  <c r="G37" i="24" s="1"/>
  <c r="F207" i="29" s="1"/>
  <c r="F36" i="24"/>
  <c r="G36" i="24" s="1"/>
  <c r="F206" i="29" s="1"/>
  <c r="F35" i="24"/>
  <c r="G35" i="24" s="1"/>
  <c r="F205" i="29" s="1"/>
  <c r="F34" i="24"/>
  <c r="G34" i="24" s="1"/>
  <c r="F204" i="29" s="1"/>
  <c r="F33" i="24"/>
  <c r="G33" i="24" s="1"/>
  <c r="F203" i="29" s="1"/>
  <c r="F32" i="24"/>
  <c r="G32" i="24" s="1"/>
  <c r="F202" i="29" s="1"/>
  <c r="F31" i="24"/>
  <c r="G31" i="24" s="1"/>
  <c r="F201" i="29" s="1"/>
  <c r="F30" i="24"/>
  <c r="G30" i="24" s="1"/>
  <c r="F200" i="29" s="1"/>
  <c r="F29" i="24"/>
  <c r="G29" i="24" s="1"/>
  <c r="F197" i="29" s="1"/>
  <c r="F28" i="24"/>
  <c r="G28" i="24" s="1"/>
  <c r="F196" i="29" s="1"/>
  <c r="F27" i="24"/>
  <c r="G27" i="24" s="1"/>
  <c r="F195" i="29" s="1"/>
  <c r="F25" i="24"/>
  <c r="G25" i="24" s="1"/>
  <c r="F193" i="29" s="1"/>
  <c r="F24" i="24"/>
  <c r="F192" i="29" s="1"/>
  <c r="C22" i="24"/>
  <c r="C9" i="24" s="1"/>
  <c r="C23" i="23"/>
  <c r="C9" i="23" s="1"/>
  <c r="C91" i="23"/>
  <c r="C161" i="23"/>
  <c r="C168" i="23"/>
  <c r="F88" i="23"/>
  <c r="G88" i="23" s="1"/>
  <c r="H88" i="23" s="1"/>
  <c r="F87" i="23"/>
  <c r="G87" i="23" s="1"/>
  <c r="H87" i="23" s="1"/>
  <c r="F86" i="23"/>
  <c r="G86" i="23" s="1"/>
  <c r="H86" i="23" s="1"/>
  <c r="F85" i="23"/>
  <c r="G85" i="23" s="1"/>
  <c r="H85" i="23" s="1"/>
  <c r="G84" i="23"/>
  <c r="H84" i="23" s="1"/>
  <c r="F84" i="23"/>
  <c r="D83" i="23"/>
  <c r="E83" i="23" s="1"/>
  <c r="F83" i="23" s="1"/>
  <c r="G83" i="23" s="1"/>
  <c r="H83" i="23" s="1"/>
  <c r="F82" i="23"/>
  <c r="G82" i="23" s="1"/>
  <c r="H82" i="23" s="1"/>
  <c r="F81" i="23"/>
  <c r="G81" i="23" s="1"/>
  <c r="H81" i="23" s="1"/>
  <c r="F80" i="23"/>
  <c r="G80" i="23" s="1"/>
  <c r="H80" i="23" s="1"/>
  <c r="F79" i="23"/>
  <c r="G79" i="23" s="1"/>
  <c r="H79" i="23" s="1"/>
  <c r="F78" i="23"/>
  <c r="G78" i="23" s="1"/>
  <c r="H78" i="23" s="1"/>
  <c r="F77" i="23"/>
  <c r="G77" i="23" s="1"/>
  <c r="H77" i="23" s="1"/>
  <c r="F76" i="23"/>
  <c r="G76" i="23" s="1"/>
  <c r="H76" i="23" s="1"/>
  <c r="F75" i="23"/>
  <c r="G75" i="23" s="1"/>
  <c r="H75" i="23" s="1"/>
  <c r="D74" i="23"/>
  <c r="E74" i="23" s="1"/>
  <c r="F74" i="23" s="1"/>
  <c r="G74" i="23" s="1"/>
  <c r="H74" i="23" s="1"/>
  <c r="F73" i="23"/>
  <c r="G73" i="23" s="1"/>
  <c r="H73" i="23" s="1"/>
  <c r="F72" i="23"/>
  <c r="G72" i="23" s="1"/>
  <c r="H72" i="23" s="1"/>
  <c r="F71" i="23"/>
  <c r="G71" i="23" s="1"/>
  <c r="H71" i="23" s="1"/>
  <c r="F70" i="23"/>
  <c r="G70" i="23" s="1"/>
  <c r="H70" i="23" s="1"/>
  <c r="D69" i="23"/>
  <c r="E69" i="23" s="1"/>
  <c r="F69" i="23" s="1"/>
  <c r="G69" i="23" s="1"/>
  <c r="H69" i="23" s="1"/>
  <c r="F68" i="23"/>
  <c r="G68" i="23" s="1"/>
  <c r="H68" i="23" s="1"/>
  <c r="F67" i="23"/>
  <c r="G67" i="23" s="1"/>
  <c r="H67" i="23" s="1"/>
  <c r="D66" i="23"/>
  <c r="E66" i="23" s="1"/>
  <c r="F66" i="23" s="1"/>
  <c r="G66" i="23" s="1"/>
  <c r="H66" i="23" s="1"/>
  <c r="F65" i="23"/>
  <c r="G65" i="23" s="1"/>
  <c r="H65" i="23" s="1"/>
  <c r="F64" i="23"/>
  <c r="G64" i="23" s="1"/>
  <c r="H64" i="23" s="1"/>
  <c r="D63" i="23"/>
  <c r="E63" i="23" s="1"/>
  <c r="F63" i="23" s="1"/>
  <c r="G63" i="23" s="1"/>
  <c r="H63" i="23" s="1"/>
  <c r="F62" i="23"/>
  <c r="G62" i="23" s="1"/>
  <c r="H62" i="23" s="1"/>
  <c r="E61" i="23"/>
  <c r="F61" i="23" s="1"/>
  <c r="G61" i="23" s="1"/>
  <c r="H61" i="23" s="1"/>
  <c r="D61" i="23"/>
  <c r="F60" i="23"/>
  <c r="G60" i="23" s="1"/>
  <c r="H60" i="23" s="1"/>
  <c r="F59" i="23"/>
  <c r="G59" i="23" s="1"/>
  <c r="H59" i="23" s="1"/>
  <c r="G58" i="23"/>
  <c r="H58" i="23" s="1"/>
  <c r="F58" i="23"/>
  <c r="F57" i="23"/>
  <c r="G57" i="23" s="1"/>
  <c r="H57" i="23" s="1"/>
  <c r="F56" i="23"/>
  <c r="G56" i="23" s="1"/>
  <c r="H56" i="23" s="1"/>
  <c r="F55" i="23"/>
  <c r="G55" i="23" s="1"/>
  <c r="H55" i="23" s="1"/>
  <c r="F54" i="23"/>
  <c r="G54" i="23" s="1"/>
  <c r="H54" i="23" s="1"/>
  <c r="F53" i="23"/>
  <c r="G53" i="23" s="1"/>
  <c r="H53" i="23" s="1"/>
  <c r="D52" i="23"/>
  <c r="E52" i="23" s="1"/>
  <c r="F52" i="23" s="1"/>
  <c r="G52" i="23" s="1"/>
  <c r="H52" i="23" s="1"/>
  <c r="F51" i="23"/>
  <c r="G51" i="23" s="1"/>
  <c r="H51" i="23" s="1"/>
  <c r="F50" i="23"/>
  <c r="G50" i="23" s="1"/>
  <c r="H50" i="23" s="1"/>
  <c r="F49" i="23"/>
  <c r="G49" i="23" s="1"/>
  <c r="H49" i="23" s="1"/>
  <c r="F48" i="23"/>
  <c r="G48" i="23" s="1"/>
  <c r="H48" i="23" s="1"/>
  <c r="E47" i="23"/>
  <c r="F47" i="23" s="1"/>
  <c r="G47" i="23" s="1"/>
  <c r="H47" i="23" s="1"/>
  <c r="D47" i="23"/>
  <c r="F46" i="23"/>
  <c r="G46" i="23" s="1"/>
  <c r="H46" i="23" s="1"/>
  <c r="F45" i="23"/>
  <c r="G45" i="23" s="1"/>
  <c r="F44" i="23"/>
  <c r="G44" i="23" s="1"/>
  <c r="D43" i="23"/>
  <c r="E43" i="23" s="1"/>
  <c r="F43" i="23" s="1"/>
  <c r="G43" i="23" s="1"/>
  <c r="H43" i="23" s="1"/>
  <c r="F42" i="23"/>
  <c r="G42" i="23" s="1"/>
  <c r="H42" i="23" s="1"/>
  <c r="F41" i="23"/>
  <c r="G41" i="23" s="1"/>
  <c r="H41" i="23" s="1"/>
  <c r="G40" i="23"/>
  <c r="H40" i="23" s="1"/>
  <c r="F40" i="23"/>
  <c r="D39" i="23"/>
  <c r="E39" i="23" s="1"/>
  <c r="F39" i="23" s="1"/>
  <c r="G39" i="23" s="1"/>
  <c r="H39" i="23" s="1"/>
  <c r="F38" i="23"/>
  <c r="G38" i="23" s="1"/>
  <c r="H38" i="23" s="1"/>
  <c r="F37" i="23"/>
  <c r="G37" i="23" s="1"/>
  <c r="H37" i="23" s="1"/>
  <c r="F36" i="23"/>
  <c r="G36" i="23" s="1"/>
  <c r="H36" i="23" s="1"/>
  <c r="F35" i="23"/>
  <c r="G35" i="23" s="1"/>
  <c r="H35" i="23" s="1"/>
  <c r="F34" i="23"/>
  <c r="G34" i="23" s="1"/>
  <c r="H34" i="23" s="1"/>
  <c r="F33" i="23"/>
  <c r="G33" i="23" s="1"/>
  <c r="H33" i="23" s="1"/>
  <c r="F32" i="23"/>
  <c r="G32" i="23" s="1"/>
  <c r="H32" i="23" s="1"/>
  <c r="F31" i="23"/>
  <c r="G31" i="23" s="1"/>
  <c r="H31" i="23" s="1"/>
  <c r="F30" i="23"/>
  <c r="G30" i="23" s="1"/>
  <c r="H30" i="23" s="1"/>
  <c r="F29" i="23"/>
  <c r="G29" i="23" s="1"/>
  <c r="H29" i="23" s="1"/>
  <c r="F28" i="23"/>
  <c r="G28" i="23" s="1"/>
  <c r="H28" i="23" s="1"/>
  <c r="D27" i="23"/>
  <c r="E27" i="23" s="1"/>
  <c r="F27" i="23" s="1"/>
  <c r="G27" i="23" s="1"/>
  <c r="H27" i="23" s="1"/>
  <c r="F26" i="23"/>
  <c r="G26" i="23" s="1"/>
  <c r="H26" i="23" s="1"/>
  <c r="F25" i="23"/>
  <c r="G25" i="23" s="1"/>
  <c r="H25" i="23" s="1"/>
  <c r="E24" i="23"/>
  <c r="F24" i="23" s="1"/>
  <c r="G24" i="23" s="1"/>
  <c r="H24" i="23" s="1"/>
  <c r="D24" i="23"/>
  <c r="C22" i="21"/>
  <c r="C9" i="21" s="1"/>
  <c r="C166" i="21"/>
  <c r="C159" i="21"/>
  <c r="C90" i="21"/>
  <c r="F87" i="21"/>
  <c r="G87" i="21" s="1"/>
  <c r="H87" i="21" s="1"/>
  <c r="F86" i="21"/>
  <c r="G86" i="21" s="1"/>
  <c r="H86" i="21" s="1"/>
  <c r="F85" i="21"/>
  <c r="G85" i="21" s="1"/>
  <c r="H85" i="21" s="1"/>
  <c r="F84" i="21"/>
  <c r="G84" i="21" s="1"/>
  <c r="H84" i="21" s="1"/>
  <c r="F83" i="21"/>
  <c r="G83" i="21" s="1"/>
  <c r="H83" i="21" s="1"/>
  <c r="D82" i="21"/>
  <c r="E82" i="21" s="1"/>
  <c r="F82" i="21" s="1"/>
  <c r="G82" i="21" s="1"/>
  <c r="H82" i="21" s="1"/>
  <c r="D68" i="19"/>
  <c r="E68" i="19" s="1"/>
  <c r="D68" i="21"/>
  <c r="E68" i="21" s="1"/>
  <c r="F81" i="21"/>
  <c r="G81" i="21" s="1"/>
  <c r="H81" i="21" s="1"/>
  <c r="F80" i="21"/>
  <c r="G80" i="21" s="1"/>
  <c r="H80" i="21" s="1"/>
  <c r="F79" i="21"/>
  <c r="G79" i="21" s="1"/>
  <c r="H79" i="21" s="1"/>
  <c r="F78" i="21"/>
  <c r="G78" i="21" s="1"/>
  <c r="H78" i="21" s="1"/>
  <c r="F77" i="21"/>
  <c r="G77" i="21" s="1"/>
  <c r="H77" i="21" s="1"/>
  <c r="F76" i="21"/>
  <c r="G76" i="21" s="1"/>
  <c r="H76" i="21" s="1"/>
  <c r="F75" i="21"/>
  <c r="G75" i="21" s="1"/>
  <c r="H75" i="21" s="1"/>
  <c r="F74" i="21"/>
  <c r="G74" i="21" s="1"/>
  <c r="H74" i="21" s="1"/>
  <c r="D73" i="21"/>
  <c r="E73" i="21" s="1"/>
  <c r="F73" i="21" s="1"/>
  <c r="G73" i="21" s="1"/>
  <c r="H73" i="21" s="1"/>
  <c r="F72" i="21"/>
  <c r="G72" i="21" s="1"/>
  <c r="H72" i="21" s="1"/>
  <c r="F71" i="21"/>
  <c r="G71" i="21" s="1"/>
  <c r="H71" i="21" s="1"/>
  <c r="F70" i="21"/>
  <c r="G70" i="21" s="1"/>
  <c r="H70" i="21" s="1"/>
  <c r="F69" i="21"/>
  <c r="G69" i="21" s="1"/>
  <c r="H69" i="21" s="1"/>
  <c r="F67" i="21"/>
  <c r="G67" i="21" s="1"/>
  <c r="H67" i="21" s="1"/>
  <c r="F66" i="21"/>
  <c r="G66" i="21" s="1"/>
  <c r="H66" i="21" s="1"/>
  <c r="D65" i="21"/>
  <c r="E65" i="21" s="1"/>
  <c r="F65" i="21" s="1"/>
  <c r="G65" i="21" s="1"/>
  <c r="H65" i="21" s="1"/>
  <c r="F64" i="21"/>
  <c r="G64" i="21" s="1"/>
  <c r="H64" i="21" s="1"/>
  <c r="F63" i="21"/>
  <c r="G63" i="21" s="1"/>
  <c r="H63" i="21" s="1"/>
  <c r="D62" i="21"/>
  <c r="E62" i="21" s="1"/>
  <c r="F62" i="21" s="1"/>
  <c r="G62" i="21" s="1"/>
  <c r="H62" i="21" s="1"/>
  <c r="F61" i="21"/>
  <c r="G61" i="21" s="1"/>
  <c r="H61" i="21" s="1"/>
  <c r="E60" i="21"/>
  <c r="F60" i="21" s="1"/>
  <c r="G60" i="21" s="1"/>
  <c r="H60" i="21" s="1"/>
  <c r="D60" i="21"/>
  <c r="F59" i="21"/>
  <c r="G59" i="21" s="1"/>
  <c r="H59" i="21" s="1"/>
  <c r="F58" i="21"/>
  <c r="G58" i="21" s="1"/>
  <c r="H58" i="21" s="1"/>
  <c r="F57" i="21"/>
  <c r="G57" i="21" s="1"/>
  <c r="H57" i="21" s="1"/>
  <c r="F56" i="21"/>
  <c r="G56" i="21" s="1"/>
  <c r="H56" i="21" s="1"/>
  <c r="F55" i="21"/>
  <c r="G55" i="21" s="1"/>
  <c r="H55" i="21" s="1"/>
  <c r="F54" i="21"/>
  <c r="G54" i="21" s="1"/>
  <c r="H54" i="21" s="1"/>
  <c r="F53" i="21"/>
  <c r="G53" i="21" s="1"/>
  <c r="H53" i="21" s="1"/>
  <c r="F52" i="21"/>
  <c r="G52" i="21" s="1"/>
  <c r="H52" i="21" s="1"/>
  <c r="D51" i="21"/>
  <c r="E51" i="21" s="1"/>
  <c r="F51" i="21" s="1"/>
  <c r="G51" i="21" s="1"/>
  <c r="H51" i="21" s="1"/>
  <c r="F50" i="21"/>
  <c r="G50" i="21" s="1"/>
  <c r="H50" i="21" s="1"/>
  <c r="F49" i="21"/>
  <c r="G49" i="21" s="1"/>
  <c r="H49" i="21" s="1"/>
  <c r="F48" i="21"/>
  <c r="G48" i="21" s="1"/>
  <c r="H48" i="21" s="1"/>
  <c r="F47" i="21"/>
  <c r="G47" i="21" s="1"/>
  <c r="H47" i="21" s="1"/>
  <c r="D46" i="21"/>
  <c r="E46" i="21" s="1"/>
  <c r="F46" i="21" s="1"/>
  <c r="G46" i="21" s="1"/>
  <c r="H46" i="21" s="1"/>
  <c r="F45" i="21"/>
  <c r="G45" i="21" s="1"/>
  <c r="H45" i="21" s="1"/>
  <c r="F44" i="21"/>
  <c r="G44" i="21" s="1"/>
  <c r="F43" i="21"/>
  <c r="G43" i="21" s="1"/>
  <c r="D42" i="21"/>
  <c r="E42" i="21" s="1"/>
  <c r="F42" i="21" s="1"/>
  <c r="G42" i="21" s="1"/>
  <c r="H42" i="21" s="1"/>
  <c r="F41" i="21"/>
  <c r="G41" i="21" s="1"/>
  <c r="H41" i="21" s="1"/>
  <c r="F40" i="21"/>
  <c r="G40" i="21" s="1"/>
  <c r="H40" i="21" s="1"/>
  <c r="F39" i="21"/>
  <c r="G39" i="21" s="1"/>
  <c r="H39" i="21" s="1"/>
  <c r="D38" i="21"/>
  <c r="E38" i="21" s="1"/>
  <c r="F38" i="21" s="1"/>
  <c r="G38" i="21" s="1"/>
  <c r="H38" i="21" s="1"/>
  <c r="F37" i="21"/>
  <c r="G37" i="21" s="1"/>
  <c r="H37" i="21" s="1"/>
  <c r="F36" i="21"/>
  <c r="G36" i="21" s="1"/>
  <c r="H36" i="21" s="1"/>
  <c r="F35" i="21"/>
  <c r="G35" i="21" s="1"/>
  <c r="H35" i="21" s="1"/>
  <c r="F34" i="21"/>
  <c r="G34" i="21" s="1"/>
  <c r="H34" i="21" s="1"/>
  <c r="F33" i="21"/>
  <c r="G33" i="21" s="1"/>
  <c r="H33" i="21" s="1"/>
  <c r="F32" i="21"/>
  <c r="G32" i="21" s="1"/>
  <c r="H32" i="21" s="1"/>
  <c r="F31" i="21"/>
  <c r="G31" i="21" s="1"/>
  <c r="H31" i="21" s="1"/>
  <c r="F30" i="21"/>
  <c r="G30" i="21" s="1"/>
  <c r="H30" i="21" s="1"/>
  <c r="F29" i="21"/>
  <c r="G29" i="21" s="1"/>
  <c r="H29" i="21" s="1"/>
  <c r="F28" i="21"/>
  <c r="G28" i="21" s="1"/>
  <c r="H28" i="21" s="1"/>
  <c r="F27" i="21"/>
  <c r="G27" i="21" s="1"/>
  <c r="H27" i="21" s="1"/>
  <c r="D26" i="21"/>
  <c r="E26" i="21" s="1"/>
  <c r="F26" i="21" s="1"/>
  <c r="G26" i="21" s="1"/>
  <c r="H26" i="21" s="1"/>
  <c r="F25" i="21"/>
  <c r="G25" i="21" s="1"/>
  <c r="H25" i="21" s="1"/>
  <c r="F24" i="21"/>
  <c r="G24" i="21" s="1"/>
  <c r="H24" i="21" s="1"/>
  <c r="E23" i="21"/>
  <c r="F23" i="21" s="1"/>
  <c r="G23" i="21" s="1"/>
  <c r="H23" i="21" s="1"/>
  <c r="D23" i="21"/>
  <c r="C22" i="19"/>
  <c r="C84" i="19"/>
  <c r="C157" i="19"/>
  <c r="F71" i="19"/>
  <c r="G71" i="19" s="1"/>
  <c r="H71" i="19" s="1"/>
  <c r="F72" i="19"/>
  <c r="G72" i="19" s="1"/>
  <c r="H72" i="19" s="1"/>
  <c r="F70" i="19"/>
  <c r="G70" i="19" s="1"/>
  <c r="H70" i="19" s="1"/>
  <c r="F69" i="19"/>
  <c r="G69" i="19" s="1"/>
  <c r="H69" i="19" s="1"/>
  <c r="F41" i="19"/>
  <c r="G41" i="19" s="1"/>
  <c r="H41" i="19" s="1"/>
  <c r="F142" i="27" l="1"/>
  <c r="AB142" i="27" s="1"/>
  <c r="F214" i="29"/>
  <c r="C7" i="24"/>
  <c r="L25" i="25"/>
  <c r="M25" i="25" s="1"/>
  <c r="F258" i="29"/>
  <c r="C7" i="23"/>
  <c r="F141" i="27"/>
  <c r="AB141" i="27" s="1"/>
  <c r="F213" i="29"/>
  <c r="L21" i="25"/>
  <c r="M21" i="25" s="1"/>
  <c r="H23" i="23"/>
  <c r="M46" i="29" s="1"/>
  <c r="M48" i="29" s="1"/>
  <c r="C6" i="24"/>
  <c r="C10" i="24" s="1"/>
  <c r="H82" i="24"/>
  <c r="F181" i="27"/>
  <c r="AB181" i="27" s="1"/>
  <c r="H61" i="24"/>
  <c r="F160" i="27"/>
  <c r="AB160" i="27" s="1"/>
  <c r="F155" i="27"/>
  <c r="AB155" i="27" s="1"/>
  <c r="H56" i="24"/>
  <c r="H27" i="24"/>
  <c r="F123" i="27"/>
  <c r="AB123" i="27" s="1"/>
  <c r="H35" i="24"/>
  <c r="F133" i="27"/>
  <c r="AB133" i="27" s="1"/>
  <c r="H39" i="24"/>
  <c r="F137" i="27"/>
  <c r="AB137" i="27" s="1"/>
  <c r="H47" i="24"/>
  <c r="F145" i="27"/>
  <c r="AB145" i="27" s="1"/>
  <c r="H57" i="24"/>
  <c r="F156" i="27"/>
  <c r="AB156" i="27" s="1"/>
  <c r="H73" i="24"/>
  <c r="F172" i="27"/>
  <c r="AB172" i="27" s="1"/>
  <c r="H81" i="24"/>
  <c r="F180" i="27"/>
  <c r="AB180" i="27" s="1"/>
  <c r="H84" i="24"/>
  <c r="F183" i="27"/>
  <c r="AB183" i="27" s="1"/>
  <c r="H28" i="24"/>
  <c r="F124" i="27"/>
  <c r="AB124" i="27" s="1"/>
  <c r="H52" i="24"/>
  <c r="F150" i="27"/>
  <c r="AB150" i="27" s="1"/>
  <c r="H68" i="24"/>
  <c r="F167" i="27"/>
  <c r="AB167" i="27" s="1"/>
  <c r="H71" i="24"/>
  <c r="F170" i="27"/>
  <c r="AB170" i="27" s="1"/>
  <c r="H74" i="24"/>
  <c r="F173" i="27"/>
  <c r="AB173" i="27" s="1"/>
  <c r="H78" i="24"/>
  <c r="F177" i="27"/>
  <c r="AB177" i="27" s="1"/>
  <c r="H85" i="24"/>
  <c r="F184" i="27"/>
  <c r="AB184" i="27" s="1"/>
  <c r="K17" i="25"/>
  <c r="K18" i="25" s="1"/>
  <c r="K19" i="25" s="1"/>
  <c r="L22" i="25"/>
  <c r="M22" i="25" s="1"/>
  <c r="H25" i="24"/>
  <c r="F121" i="27"/>
  <c r="AB121" i="27" s="1"/>
  <c r="H29" i="24"/>
  <c r="F125" i="27"/>
  <c r="AB125" i="27" s="1"/>
  <c r="H33" i="24"/>
  <c r="F131" i="27"/>
  <c r="AB131" i="27" s="1"/>
  <c r="H37" i="24"/>
  <c r="F135" i="27"/>
  <c r="AB135" i="27" s="1"/>
  <c r="H41" i="24"/>
  <c r="F139" i="27"/>
  <c r="AB139" i="27" s="1"/>
  <c r="H45" i="24"/>
  <c r="F143" i="27"/>
  <c r="AB143" i="27" s="1"/>
  <c r="H49" i="24"/>
  <c r="F147" i="27"/>
  <c r="AB147" i="27" s="1"/>
  <c r="H53" i="24"/>
  <c r="F151" i="27"/>
  <c r="AB151" i="27" s="1"/>
  <c r="H59" i="24"/>
  <c r="F158" i="27"/>
  <c r="AB158" i="27" s="1"/>
  <c r="H65" i="24"/>
  <c r="F164" i="27"/>
  <c r="AB164" i="27" s="1"/>
  <c r="H69" i="24"/>
  <c r="F168" i="27"/>
  <c r="AB168" i="27" s="1"/>
  <c r="H72" i="24"/>
  <c r="F171" i="27"/>
  <c r="AB171" i="27" s="1"/>
  <c r="H75" i="24"/>
  <c r="F174" i="27"/>
  <c r="AB174" i="27" s="1"/>
  <c r="H79" i="24"/>
  <c r="F178" i="27"/>
  <c r="AB178" i="27" s="1"/>
  <c r="H86" i="24"/>
  <c r="F185" i="27"/>
  <c r="AB185" i="27" s="1"/>
  <c r="L28" i="25"/>
  <c r="M28" i="25" s="1"/>
  <c r="K11" i="25" s="1"/>
  <c r="H23" i="24"/>
  <c r="F119" i="27"/>
  <c r="H31" i="24"/>
  <c r="F129" i="27"/>
  <c r="AB129" i="27" s="1"/>
  <c r="H51" i="24"/>
  <c r="F149" i="27"/>
  <c r="AB149" i="27" s="1"/>
  <c r="H55" i="24"/>
  <c r="F153" i="27"/>
  <c r="AB153" i="27" s="1"/>
  <c r="H60" i="24"/>
  <c r="F159" i="27"/>
  <c r="AB159" i="27" s="1"/>
  <c r="H63" i="24"/>
  <c r="F162" i="27"/>
  <c r="AB162" i="27" s="1"/>
  <c r="H67" i="24"/>
  <c r="F166" i="27"/>
  <c r="AB166" i="27" s="1"/>
  <c r="H70" i="24"/>
  <c r="F169" i="27"/>
  <c r="AB169" i="27" s="1"/>
  <c r="H77" i="24"/>
  <c r="F176" i="27"/>
  <c r="AB176" i="27" s="1"/>
  <c r="H24" i="24"/>
  <c r="F120" i="27"/>
  <c r="AB120" i="27" s="1"/>
  <c r="H32" i="24"/>
  <c r="F130" i="27"/>
  <c r="AB130" i="27" s="1"/>
  <c r="H36" i="24"/>
  <c r="F134" i="27"/>
  <c r="AB134" i="27" s="1"/>
  <c r="H40" i="24"/>
  <c r="F138" i="27"/>
  <c r="AB138" i="27" s="1"/>
  <c r="H48" i="24"/>
  <c r="F146" i="27"/>
  <c r="AB146" i="27" s="1"/>
  <c r="H58" i="24"/>
  <c r="F157" i="27"/>
  <c r="AB157" i="27" s="1"/>
  <c r="H64" i="24"/>
  <c r="F163" i="27"/>
  <c r="AB163" i="27" s="1"/>
  <c r="H26" i="24"/>
  <c r="F122" i="27"/>
  <c r="AB122" i="27" s="1"/>
  <c r="H30" i="24"/>
  <c r="F128" i="27"/>
  <c r="H34" i="24"/>
  <c r="F132" i="27"/>
  <c r="AB132" i="27" s="1"/>
  <c r="H38" i="24"/>
  <c r="F136" i="27"/>
  <c r="AB136" i="27" s="1"/>
  <c r="H42" i="24"/>
  <c r="F140" i="27"/>
  <c r="AB140" i="27" s="1"/>
  <c r="H46" i="24"/>
  <c r="F144" i="27"/>
  <c r="H50" i="24"/>
  <c r="F148" i="27"/>
  <c r="AB148" i="27" s="1"/>
  <c r="H54" i="24"/>
  <c r="F152" i="27"/>
  <c r="AB152" i="27" s="1"/>
  <c r="H62" i="24"/>
  <c r="F161" i="27"/>
  <c r="AB161" i="27" s="1"/>
  <c r="H66" i="24"/>
  <c r="F165" i="27"/>
  <c r="AB165" i="27" s="1"/>
  <c r="H76" i="24"/>
  <c r="F175" i="27"/>
  <c r="AB175" i="27" s="1"/>
  <c r="H80" i="24"/>
  <c r="F179" i="27"/>
  <c r="AB179" i="27" s="1"/>
  <c r="H83" i="24"/>
  <c r="F182" i="27"/>
  <c r="AB182" i="27" s="1"/>
  <c r="H87" i="24"/>
  <c r="F186" i="27"/>
  <c r="AB186" i="27" s="1"/>
  <c r="L24" i="25"/>
  <c r="M24" i="25" s="1"/>
  <c r="C6" i="23"/>
  <c r="C7" i="21"/>
  <c r="F68" i="19"/>
  <c r="G68" i="19" s="1"/>
  <c r="H68" i="19" s="1"/>
  <c r="C150" i="19"/>
  <c r="C7" i="19" s="1"/>
  <c r="F81" i="19"/>
  <c r="G81" i="19" s="1"/>
  <c r="H81" i="19" s="1"/>
  <c r="F80" i="19"/>
  <c r="G80" i="19" s="1"/>
  <c r="H80" i="19" s="1"/>
  <c r="F79" i="19"/>
  <c r="G79" i="19" s="1"/>
  <c r="H79" i="19" s="1"/>
  <c r="F78" i="19"/>
  <c r="G78" i="19" s="1"/>
  <c r="H78" i="19" s="1"/>
  <c r="F77" i="19"/>
  <c r="G77" i="19" s="1"/>
  <c r="H77" i="19" s="1"/>
  <c r="F76" i="19"/>
  <c r="G76" i="19" s="1"/>
  <c r="H76" i="19" s="1"/>
  <c r="F75" i="19"/>
  <c r="G75" i="19" s="1"/>
  <c r="H75" i="19" s="1"/>
  <c r="F74" i="19"/>
  <c r="G74" i="19" s="1"/>
  <c r="H74" i="19" s="1"/>
  <c r="D73" i="19"/>
  <c r="E73" i="19" s="1"/>
  <c r="F73" i="19" s="1"/>
  <c r="G73" i="19" s="1"/>
  <c r="H73" i="19" s="1"/>
  <c r="F67" i="19"/>
  <c r="G67" i="19" s="1"/>
  <c r="H67" i="19" s="1"/>
  <c r="F66" i="19"/>
  <c r="G66" i="19" s="1"/>
  <c r="H66" i="19" s="1"/>
  <c r="D65" i="19"/>
  <c r="E65" i="19" s="1"/>
  <c r="F65" i="19" s="1"/>
  <c r="G65" i="19" s="1"/>
  <c r="H65" i="19" s="1"/>
  <c r="F64" i="19"/>
  <c r="G64" i="19" s="1"/>
  <c r="H64" i="19" s="1"/>
  <c r="F63" i="19"/>
  <c r="G63" i="19" s="1"/>
  <c r="H63" i="19" s="1"/>
  <c r="D62" i="19"/>
  <c r="E62" i="19" s="1"/>
  <c r="F62" i="19" s="1"/>
  <c r="G62" i="19" s="1"/>
  <c r="H62" i="19" s="1"/>
  <c r="F61" i="19"/>
  <c r="G61" i="19" s="1"/>
  <c r="H61" i="19" s="1"/>
  <c r="E60" i="19"/>
  <c r="F60" i="19" s="1"/>
  <c r="G60" i="19" s="1"/>
  <c r="H60" i="19" s="1"/>
  <c r="D60" i="19"/>
  <c r="F59" i="19"/>
  <c r="G59" i="19" s="1"/>
  <c r="H59" i="19" s="1"/>
  <c r="F58" i="19"/>
  <c r="G58" i="19" s="1"/>
  <c r="H58" i="19" s="1"/>
  <c r="F57" i="19"/>
  <c r="G57" i="19" s="1"/>
  <c r="H57" i="19" s="1"/>
  <c r="F56" i="19"/>
  <c r="G56" i="19" s="1"/>
  <c r="H56" i="19" s="1"/>
  <c r="F55" i="19"/>
  <c r="G55" i="19" s="1"/>
  <c r="H55" i="19" s="1"/>
  <c r="F54" i="19"/>
  <c r="G54" i="19" s="1"/>
  <c r="H54" i="19" s="1"/>
  <c r="F53" i="19"/>
  <c r="G53" i="19" s="1"/>
  <c r="H53" i="19" s="1"/>
  <c r="F52" i="19"/>
  <c r="G52" i="19" s="1"/>
  <c r="H52" i="19" s="1"/>
  <c r="D51" i="19"/>
  <c r="E51" i="19" s="1"/>
  <c r="F51" i="19" s="1"/>
  <c r="G51" i="19" s="1"/>
  <c r="H51" i="19" s="1"/>
  <c r="F50" i="19"/>
  <c r="G50" i="19" s="1"/>
  <c r="H50" i="19" s="1"/>
  <c r="F49" i="19"/>
  <c r="G49" i="19" s="1"/>
  <c r="H49" i="19" s="1"/>
  <c r="F48" i="19"/>
  <c r="G48" i="19" s="1"/>
  <c r="H48" i="19" s="1"/>
  <c r="F47" i="19"/>
  <c r="G47" i="19" s="1"/>
  <c r="H47" i="19" s="1"/>
  <c r="D46" i="19"/>
  <c r="E46" i="19" s="1"/>
  <c r="F46" i="19" s="1"/>
  <c r="G46" i="19" s="1"/>
  <c r="H46" i="19" s="1"/>
  <c r="F45" i="19"/>
  <c r="G45" i="19" s="1"/>
  <c r="H45" i="19" s="1"/>
  <c r="F44" i="19"/>
  <c r="G44" i="19" s="1"/>
  <c r="F43" i="19"/>
  <c r="G43" i="19" s="1"/>
  <c r="D42" i="19"/>
  <c r="E42" i="19" s="1"/>
  <c r="F42" i="19" s="1"/>
  <c r="G42" i="19" s="1"/>
  <c r="H42" i="19" s="1"/>
  <c r="F40" i="19"/>
  <c r="G40" i="19" s="1"/>
  <c r="H40" i="19" s="1"/>
  <c r="F39" i="19"/>
  <c r="G39" i="19" s="1"/>
  <c r="H39" i="19" s="1"/>
  <c r="D38" i="19"/>
  <c r="E38" i="19" s="1"/>
  <c r="F38" i="19" s="1"/>
  <c r="G38" i="19" s="1"/>
  <c r="H38" i="19" s="1"/>
  <c r="F37" i="19"/>
  <c r="G37" i="19" s="1"/>
  <c r="H37" i="19" s="1"/>
  <c r="F36" i="19"/>
  <c r="G36" i="19" s="1"/>
  <c r="H36" i="19" s="1"/>
  <c r="F35" i="19"/>
  <c r="G35" i="19" s="1"/>
  <c r="H35" i="19" s="1"/>
  <c r="F34" i="19"/>
  <c r="G34" i="19" s="1"/>
  <c r="H34" i="19" s="1"/>
  <c r="F33" i="19"/>
  <c r="G33" i="19" s="1"/>
  <c r="H33" i="19" s="1"/>
  <c r="F32" i="19"/>
  <c r="G32" i="19" s="1"/>
  <c r="H32" i="19" s="1"/>
  <c r="F31" i="19"/>
  <c r="G31" i="19" s="1"/>
  <c r="H31" i="19" s="1"/>
  <c r="F30" i="19"/>
  <c r="G30" i="19" s="1"/>
  <c r="H30" i="19" s="1"/>
  <c r="F29" i="19"/>
  <c r="G29" i="19" s="1"/>
  <c r="H29" i="19" s="1"/>
  <c r="F28" i="19"/>
  <c r="G28" i="19" s="1"/>
  <c r="H28" i="19" s="1"/>
  <c r="F27" i="19"/>
  <c r="G27" i="19" s="1"/>
  <c r="H27" i="19" s="1"/>
  <c r="D26" i="19"/>
  <c r="E26" i="19" s="1"/>
  <c r="F26" i="19" s="1"/>
  <c r="G26" i="19" s="1"/>
  <c r="H26" i="19" s="1"/>
  <c r="F25" i="19"/>
  <c r="G25" i="19" s="1"/>
  <c r="H25" i="19" s="1"/>
  <c r="F24" i="19"/>
  <c r="G24" i="19" s="1"/>
  <c r="H24" i="19" s="1"/>
  <c r="E23" i="19"/>
  <c r="F23" i="19" s="1"/>
  <c r="G23" i="19" s="1"/>
  <c r="H23" i="19" s="1"/>
  <c r="D23" i="19"/>
  <c r="C9" i="19"/>
  <c r="C78" i="17"/>
  <c r="D50" i="17"/>
  <c r="E50" i="17" s="1"/>
  <c r="F50" i="17" s="1"/>
  <c r="G50" i="17" s="1"/>
  <c r="H50" i="17" s="1"/>
  <c r="C22" i="17"/>
  <c r="C9" i="17" s="1"/>
  <c r="F24" i="15"/>
  <c r="G24" i="15" s="1"/>
  <c r="H24" i="15" s="1"/>
  <c r="F25" i="17"/>
  <c r="G25" i="17" s="1"/>
  <c r="H25" i="17" s="1"/>
  <c r="C149" i="17"/>
  <c r="C144" i="17"/>
  <c r="F75" i="17"/>
  <c r="G75" i="17" s="1"/>
  <c r="H75" i="17" s="1"/>
  <c r="F74" i="17"/>
  <c r="G74" i="17" s="1"/>
  <c r="H74" i="17" s="1"/>
  <c r="F73" i="17"/>
  <c r="G73" i="17" s="1"/>
  <c r="H73" i="17" s="1"/>
  <c r="F72" i="17"/>
  <c r="G72" i="17" s="1"/>
  <c r="H72" i="17" s="1"/>
  <c r="F71" i="17"/>
  <c r="G71" i="17" s="1"/>
  <c r="H71" i="17" s="1"/>
  <c r="F70" i="17"/>
  <c r="G70" i="17" s="1"/>
  <c r="H70" i="17" s="1"/>
  <c r="F69" i="17"/>
  <c r="G69" i="17" s="1"/>
  <c r="H69" i="17" s="1"/>
  <c r="F68" i="17"/>
  <c r="G68" i="17" s="1"/>
  <c r="H68" i="17" s="1"/>
  <c r="D67" i="17"/>
  <c r="E67" i="17" s="1"/>
  <c r="F67" i="17" s="1"/>
  <c r="G67" i="17" s="1"/>
  <c r="H67" i="17" s="1"/>
  <c r="F66" i="17"/>
  <c r="G66" i="17" s="1"/>
  <c r="H66" i="17" s="1"/>
  <c r="F65" i="17"/>
  <c r="G65" i="17" s="1"/>
  <c r="H65" i="17" s="1"/>
  <c r="D64" i="17"/>
  <c r="E64" i="17" s="1"/>
  <c r="F64" i="17" s="1"/>
  <c r="G64" i="17" s="1"/>
  <c r="H64" i="17" s="1"/>
  <c r="F63" i="17"/>
  <c r="G63" i="17" s="1"/>
  <c r="H63" i="17" s="1"/>
  <c r="F62" i="17"/>
  <c r="G62" i="17" s="1"/>
  <c r="H62" i="17" s="1"/>
  <c r="D61" i="17"/>
  <c r="E61" i="17" s="1"/>
  <c r="F61" i="17" s="1"/>
  <c r="G61" i="17" s="1"/>
  <c r="H61" i="17" s="1"/>
  <c r="F60" i="17"/>
  <c r="G60" i="17" s="1"/>
  <c r="H60" i="17" s="1"/>
  <c r="E59" i="17"/>
  <c r="F59" i="17" s="1"/>
  <c r="G59" i="17" s="1"/>
  <c r="H59" i="17" s="1"/>
  <c r="D59" i="17"/>
  <c r="F58" i="17"/>
  <c r="G58" i="17" s="1"/>
  <c r="H58" i="17" s="1"/>
  <c r="F57" i="17"/>
  <c r="G57" i="17" s="1"/>
  <c r="H57" i="17" s="1"/>
  <c r="F56" i="17"/>
  <c r="G56" i="17" s="1"/>
  <c r="H56" i="17" s="1"/>
  <c r="F55" i="17"/>
  <c r="G55" i="17" s="1"/>
  <c r="H55" i="17" s="1"/>
  <c r="F54" i="17"/>
  <c r="G54" i="17" s="1"/>
  <c r="H54" i="17" s="1"/>
  <c r="F53" i="17"/>
  <c r="G53" i="17" s="1"/>
  <c r="H53" i="17" s="1"/>
  <c r="F52" i="17"/>
  <c r="G52" i="17" s="1"/>
  <c r="H52" i="17" s="1"/>
  <c r="F51" i="17"/>
  <c r="G51" i="17" s="1"/>
  <c r="H51" i="17" s="1"/>
  <c r="F49" i="17"/>
  <c r="G49" i="17" s="1"/>
  <c r="H49" i="17" s="1"/>
  <c r="F48" i="17"/>
  <c r="G48" i="17" s="1"/>
  <c r="H48" i="17" s="1"/>
  <c r="F47" i="17"/>
  <c r="G47" i="17" s="1"/>
  <c r="H47" i="17" s="1"/>
  <c r="F46" i="17"/>
  <c r="G46" i="17" s="1"/>
  <c r="H46" i="17" s="1"/>
  <c r="D45" i="17"/>
  <c r="E45" i="17" s="1"/>
  <c r="F45" i="17" s="1"/>
  <c r="G45" i="17" s="1"/>
  <c r="H45" i="17" s="1"/>
  <c r="F44" i="17"/>
  <c r="G44" i="17" s="1"/>
  <c r="H44" i="17" s="1"/>
  <c r="F43" i="17"/>
  <c r="G43" i="17" s="1"/>
  <c r="F42" i="17"/>
  <c r="G42" i="17" s="1"/>
  <c r="D41" i="17"/>
  <c r="E41" i="17" s="1"/>
  <c r="F41" i="17" s="1"/>
  <c r="G41" i="17" s="1"/>
  <c r="H41" i="17" s="1"/>
  <c r="F40" i="17"/>
  <c r="G40" i="17" s="1"/>
  <c r="H40" i="17" s="1"/>
  <c r="F39" i="17"/>
  <c r="G39" i="17" s="1"/>
  <c r="H39" i="17" s="1"/>
  <c r="D38" i="17"/>
  <c r="E38" i="17" s="1"/>
  <c r="F38" i="17" s="1"/>
  <c r="G38" i="17" s="1"/>
  <c r="H38" i="17" s="1"/>
  <c r="F37" i="17"/>
  <c r="G37" i="17" s="1"/>
  <c r="H37" i="17" s="1"/>
  <c r="F36" i="17"/>
  <c r="G36" i="17" s="1"/>
  <c r="H36" i="17" s="1"/>
  <c r="F35" i="17"/>
  <c r="G35" i="17" s="1"/>
  <c r="H35" i="17" s="1"/>
  <c r="F34" i="17"/>
  <c r="G34" i="17" s="1"/>
  <c r="H34" i="17" s="1"/>
  <c r="F33" i="17"/>
  <c r="G33" i="17" s="1"/>
  <c r="H33" i="17" s="1"/>
  <c r="F32" i="17"/>
  <c r="G32" i="17" s="1"/>
  <c r="H32" i="17" s="1"/>
  <c r="F31" i="17"/>
  <c r="G31" i="17" s="1"/>
  <c r="H31" i="17" s="1"/>
  <c r="F30" i="17"/>
  <c r="G30" i="17" s="1"/>
  <c r="H30" i="17" s="1"/>
  <c r="F29" i="17"/>
  <c r="G29" i="17" s="1"/>
  <c r="H29" i="17" s="1"/>
  <c r="F28" i="17"/>
  <c r="G28" i="17" s="1"/>
  <c r="H28" i="17" s="1"/>
  <c r="F27" i="17"/>
  <c r="G27" i="17" s="1"/>
  <c r="H27" i="17" s="1"/>
  <c r="D26" i="17"/>
  <c r="E26" i="17" s="1"/>
  <c r="F26" i="17" s="1"/>
  <c r="G26" i="17" s="1"/>
  <c r="H26" i="17" s="1"/>
  <c r="F24" i="17"/>
  <c r="G24" i="17" s="1"/>
  <c r="H24" i="17" s="1"/>
  <c r="E23" i="17"/>
  <c r="F23" i="17" s="1"/>
  <c r="G23" i="17" s="1"/>
  <c r="H23" i="17" s="1"/>
  <c r="D23" i="17"/>
  <c r="C22" i="15"/>
  <c r="C9" i="15" s="1"/>
  <c r="C77" i="15"/>
  <c r="E23" i="15"/>
  <c r="D23" i="15"/>
  <c r="D66" i="15"/>
  <c r="E66" i="15" s="1"/>
  <c r="F74" i="15"/>
  <c r="G74" i="15" s="1"/>
  <c r="H74" i="15" s="1"/>
  <c r="F71" i="15"/>
  <c r="G71" i="15" s="1"/>
  <c r="H71" i="15" s="1"/>
  <c r="F72" i="15"/>
  <c r="G72" i="15" s="1"/>
  <c r="H72" i="15" s="1"/>
  <c r="F73" i="15"/>
  <c r="G73" i="15" s="1"/>
  <c r="H73" i="15" s="1"/>
  <c r="F56" i="15"/>
  <c r="G56" i="15" s="1"/>
  <c r="H56" i="15" s="1"/>
  <c r="F57" i="15"/>
  <c r="G57" i="15" s="1"/>
  <c r="H57" i="15" s="1"/>
  <c r="F26" i="15"/>
  <c r="G26" i="15" s="1"/>
  <c r="H26" i="15" s="1"/>
  <c r="C143" i="15"/>
  <c r="F70" i="15"/>
  <c r="G70" i="15" s="1"/>
  <c r="H70" i="15" s="1"/>
  <c r="F69" i="15"/>
  <c r="G69" i="15" s="1"/>
  <c r="H69" i="15" s="1"/>
  <c r="F68" i="15"/>
  <c r="G68" i="15" s="1"/>
  <c r="H68" i="15" s="1"/>
  <c r="F67" i="15"/>
  <c r="G67" i="15" s="1"/>
  <c r="H67" i="15" s="1"/>
  <c r="F65" i="15"/>
  <c r="G65" i="15" s="1"/>
  <c r="H65" i="15" s="1"/>
  <c r="F64" i="15"/>
  <c r="G64" i="15" s="1"/>
  <c r="H64" i="15" s="1"/>
  <c r="D63" i="15"/>
  <c r="E63" i="15" s="1"/>
  <c r="F63" i="15" s="1"/>
  <c r="G63" i="15" s="1"/>
  <c r="H63" i="15" s="1"/>
  <c r="F62" i="15"/>
  <c r="G62" i="15" s="1"/>
  <c r="H62" i="15" s="1"/>
  <c r="F61" i="15"/>
  <c r="G61" i="15" s="1"/>
  <c r="H61" i="15" s="1"/>
  <c r="D60" i="15"/>
  <c r="E60" i="15" s="1"/>
  <c r="F60" i="15" s="1"/>
  <c r="G60" i="15" s="1"/>
  <c r="H60" i="15" s="1"/>
  <c r="F59" i="15"/>
  <c r="G59" i="15" s="1"/>
  <c r="H59" i="15" s="1"/>
  <c r="E58" i="15"/>
  <c r="F58" i="15" s="1"/>
  <c r="G58" i="15" s="1"/>
  <c r="H58" i="15" s="1"/>
  <c r="D58" i="15"/>
  <c r="F55" i="15"/>
  <c r="G55" i="15" s="1"/>
  <c r="H55" i="15" s="1"/>
  <c r="F54" i="15"/>
  <c r="G54" i="15" s="1"/>
  <c r="H54" i="15" s="1"/>
  <c r="F53" i="15"/>
  <c r="G53" i="15" s="1"/>
  <c r="H53" i="15" s="1"/>
  <c r="F52" i="15"/>
  <c r="G52" i="15" s="1"/>
  <c r="H52" i="15" s="1"/>
  <c r="F51" i="15"/>
  <c r="G51" i="15" s="1"/>
  <c r="H51" i="15" s="1"/>
  <c r="F50" i="15"/>
  <c r="G50" i="15" s="1"/>
  <c r="H50" i="15" s="1"/>
  <c r="D49" i="15"/>
  <c r="E49" i="15" s="1"/>
  <c r="F49" i="15" s="1"/>
  <c r="G49" i="15" s="1"/>
  <c r="H49" i="15" s="1"/>
  <c r="F48" i="15"/>
  <c r="G48" i="15" s="1"/>
  <c r="H48" i="15" s="1"/>
  <c r="F47" i="15"/>
  <c r="G47" i="15" s="1"/>
  <c r="H47" i="15" s="1"/>
  <c r="F46" i="15"/>
  <c r="G46" i="15" s="1"/>
  <c r="H46" i="15" s="1"/>
  <c r="F45" i="15"/>
  <c r="G45" i="15" s="1"/>
  <c r="H45" i="15" s="1"/>
  <c r="D44" i="15"/>
  <c r="E44" i="15" s="1"/>
  <c r="F44" i="15" s="1"/>
  <c r="G44" i="15" s="1"/>
  <c r="H44" i="15" s="1"/>
  <c r="F43" i="15"/>
  <c r="G43" i="15" s="1"/>
  <c r="H43" i="15" s="1"/>
  <c r="F42" i="15"/>
  <c r="G42" i="15" s="1"/>
  <c r="F41" i="15"/>
  <c r="G41" i="15" s="1"/>
  <c r="D40" i="15"/>
  <c r="E40" i="15" s="1"/>
  <c r="F40" i="15" s="1"/>
  <c r="F39" i="15"/>
  <c r="G39" i="15" s="1"/>
  <c r="H39" i="15" s="1"/>
  <c r="F38" i="15"/>
  <c r="G38" i="15" s="1"/>
  <c r="H38" i="15" s="1"/>
  <c r="D37" i="15"/>
  <c r="E37" i="15" s="1"/>
  <c r="F37" i="15" s="1"/>
  <c r="G37" i="15" s="1"/>
  <c r="H37" i="15" s="1"/>
  <c r="F36" i="15"/>
  <c r="G36" i="15" s="1"/>
  <c r="H36" i="15" s="1"/>
  <c r="F35" i="15"/>
  <c r="G35" i="15" s="1"/>
  <c r="H35" i="15" s="1"/>
  <c r="F34" i="15"/>
  <c r="G34" i="15" s="1"/>
  <c r="H34" i="15" s="1"/>
  <c r="F33" i="15"/>
  <c r="G33" i="15" s="1"/>
  <c r="H33" i="15" s="1"/>
  <c r="F32" i="15"/>
  <c r="G32" i="15" s="1"/>
  <c r="H32" i="15" s="1"/>
  <c r="F31" i="15"/>
  <c r="G31" i="15" s="1"/>
  <c r="H31" i="15" s="1"/>
  <c r="F30" i="15"/>
  <c r="G30" i="15" s="1"/>
  <c r="H30" i="15" s="1"/>
  <c r="F29" i="15"/>
  <c r="G29" i="15" s="1"/>
  <c r="H29" i="15" s="1"/>
  <c r="F28" i="15"/>
  <c r="G28" i="15" s="1"/>
  <c r="H28" i="15" s="1"/>
  <c r="F27" i="15"/>
  <c r="G27" i="15" s="1"/>
  <c r="H27" i="15" s="1"/>
  <c r="D25" i="15"/>
  <c r="E25" i="15" s="1"/>
  <c r="F25" i="15" s="1"/>
  <c r="G25" i="15" s="1"/>
  <c r="H25" i="15" s="1"/>
  <c r="C22" i="13"/>
  <c r="C9" i="13" s="1"/>
  <c r="C72" i="13"/>
  <c r="C7" i="13" s="1"/>
  <c r="C138" i="13"/>
  <c r="F40" i="13"/>
  <c r="G40" i="13" s="1"/>
  <c r="F41" i="13"/>
  <c r="G41" i="13" s="1"/>
  <c r="H41" i="13" s="1"/>
  <c r="F69" i="13"/>
  <c r="G69" i="13" s="1"/>
  <c r="H69" i="13" s="1"/>
  <c r="F68" i="13"/>
  <c r="G68" i="13" s="1"/>
  <c r="H68" i="13" s="1"/>
  <c r="F67" i="13"/>
  <c r="G67" i="13" s="1"/>
  <c r="H67" i="13" s="1"/>
  <c r="F66" i="13"/>
  <c r="G66" i="13" s="1"/>
  <c r="H66" i="13" s="1"/>
  <c r="D65" i="13"/>
  <c r="E65" i="13" s="1"/>
  <c r="F65" i="13" s="1"/>
  <c r="G65" i="13" s="1"/>
  <c r="H65" i="13" s="1"/>
  <c r="F64" i="13"/>
  <c r="G64" i="13" s="1"/>
  <c r="H64" i="13" s="1"/>
  <c r="F63" i="13"/>
  <c r="G63" i="13" s="1"/>
  <c r="H63" i="13" s="1"/>
  <c r="D62" i="13"/>
  <c r="E62" i="13" s="1"/>
  <c r="F62" i="13" s="1"/>
  <c r="G62" i="13" s="1"/>
  <c r="H62" i="13" s="1"/>
  <c r="F61" i="13"/>
  <c r="G61" i="13" s="1"/>
  <c r="H61" i="13" s="1"/>
  <c r="F60" i="13"/>
  <c r="G60" i="13" s="1"/>
  <c r="H60" i="13" s="1"/>
  <c r="D59" i="13"/>
  <c r="E59" i="13" s="1"/>
  <c r="F59" i="13" s="1"/>
  <c r="G59" i="13" s="1"/>
  <c r="H59" i="13" s="1"/>
  <c r="F58" i="13"/>
  <c r="G58" i="13" s="1"/>
  <c r="H58" i="13" s="1"/>
  <c r="E57" i="13"/>
  <c r="F57" i="13" s="1"/>
  <c r="G57" i="13" s="1"/>
  <c r="H57" i="13" s="1"/>
  <c r="D57" i="13"/>
  <c r="F56" i="13"/>
  <c r="G56" i="13" s="1"/>
  <c r="H56" i="13" s="1"/>
  <c r="F55" i="13"/>
  <c r="G55" i="13" s="1"/>
  <c r="H55" i="13" s="1"/>
  <c r="F54" i="13"/>
  <c r="G54" i="13" s="1"/>
  <c r="H54" i="13" s="1"/>
  <c r="F51" i="13"/>
  <c r="G51" i="13" s="1"/>
  <c r="H51" i="13" s="1"/>
  <c r="F50" i="13"/>
  <c r="G50" i="13" s="1"/>
  <c r="H50" i="13" s="1"/>
  <c r="F49" i="13"/>
  <c r="G49" i="13" s="1"/>
  <c r="H49" i="13" s="1"/>
  <c r="F48" i="13"/>
  <c r="G48" i="13" s="1"/>
  <c r="H48" i="13" s="1"/>
  <c r="D47" i="13"/>
  <c r="E47" i="13" s="1"/>
  <c r="F47" i="13" s="1"/>
  <c r="G47" i="13" s="1"/>
  <c r="H47" i="13" s="1"/>
  <c r="F46" i="13"/>
  <c r="G46" i="13" s="1"/>
  <c r="H46" i="13" s="1"/>
  <c r="F45" i="13"/>
  <c r="G45" i="13" s="1"/>
  <c r="H45" i="13" s="1"/>
  <c r="F44" i="13"/>
  <c r="G44" i="13" s="1"/>
  <c r="H44" i="13" s="1"/>
  <c r="F43" i="13"/>
  <c r="G43" i="13" s="1"/>
  <c r="H43" i="13" s="1"/>
  <c r="D42" i="13"/>
  <c r="E42" i="13" s="1"/>
  <c r="F42" i="13" s="1"/>
  <c r="G42" i="13" s="1"/>
  <c r="H42" i="13" s="1"/>
  <c r="F39" i="13"/>
  <c r="G39" i="13" s="1"/>
  <c r="D38" i="13"/>
  <c r="E38" i="13" s="1"/>
  <c r="F38" i="13" s="1"/>
  <c r="G38" i="13" s="1"/>
  <c r="H38" i="13" s="1"/>
  <c r="F37" i="13"/>
  <c r="G37" i="13" s="1"/>
  <c r="H37" i="13" s="1"/>
  <c r="F36" i="13"/>
  <c r="G36" i="13" s="1"/>
  <c r="H36" i="13" s="1"/>
  <c r="D35" i="13"/>
  <c r="E35" i="13" s="1"/>
  <c r="F35" i="13" s="1"/>
  <c r="G35" i="13" s="1"/>
  <c r="H35" i="13" s="1"/>
  <c r="F34" i="13"/>
  <c r="G34" i="13" s="1"/>
  <c r="H34" i="13" s="1"/>
  <c r="F33" i="13"/>
  <c r="G33" i="13" s="1"/>
  <c r="H33" i="13" s="1"/>
  <c r="F32" i="13"/>
  <c r="G32" i="13" s="1"/>
  <c r="H32" i="13" s="1"/>
  <c r="F31" i="13"/>
  <c r="G31" i="13" s="1"/>
  <c r="H31" i="13" s="1"/>
  <c r="F30" i="13"/>
  <c r="G30" i="13" s="1"/>
  <c r="H30" i="13" s="1"/>
  <c r="F29" i="13"/>
  <c r="G29" i="13" s="1"/>
  <c r="H29" i="13" s="1"/>
  <c r="F28" i="13"/>
  <c r="G28" i="13" s="1"/>
  <c r="H28" i="13" s="1"/>
  <c r="F27" i="13"/>
  <c r="G27" i="13" s="1"/>
  <c r="H27" i="13" s="1"/>
  <c r="F26" i="13"/>
  <c r="G26" i="13" s="1"/>
  <c r="H26" i="13" s="1"/>
  <c r="F25" i="13"/>
  <c r="G25" i="13" s="1"/>
  <c r="H25" i="13" s="1"/>
  <c r="F24" i="13"/>
  <c r="G24" i="13" s="1"/>
  <c r="H24" i="13" s="1"/>
  <c r="D23" i="13"/>
  <c r="E23" i="13" s="1"/>
  <c r="F23" i="13" s="1"/>
  <c r="G23" i="13" s="1"/>
  <c r="H23" i="13" s="1"/>
  <c r="G61" i="10"/>
  <c r="E21" i="10"/>
  <c r="E33" i="10"/>
  <c r="E39" i="10"/>
  <c r="E63" i="10"/>
  <c r="E72" i="10"/>
  <c r="E78" i="10"/>
  <c r="I31" i="10"/>
  <c r="J31" i="10" s="1"/>
  <c r="G31" i="10"/>
  <c r="L31" i="10" s="1"/>
  <c r="F24" i="10"/>
  <c r="I24" i="10"/>
  <c r="J24" i="10" s="1"/>
  <c r="K24" i="10" s="1"/>
  <c r="L24" i="10"/>
  <c r="L23" i="10"/>
  <c r="I23" i="10"/>
  <c r="J23" i="10" s="1"/>
  <c r="F23" i="10"/>
  <c r="F22" i="10"/>
  <c r="I22" i="10"/>
  <c r="J22" i="10" s="1"/>
  <c r="F67" i="29" s="1"/>
  <c r="L22" i="10"/>
  <c r="E59" i="10"/>
  <c r="E58" i="10" s="1"/>
  <c r="G56" i="10"/>
  <c r="G55" i="10"/>
  <c r="G42" i="10"/>
  <c r="G41" i="10"/>
  <c r="K23" i="10" l="1"/>
  <c r="F68" i="29"/>
  <c r="F66" i="29"/>
  <c r="F65" i="29"/>
  <c r="C7" i="15"/>
  <c r="C7" i="17"/>
  <c r="F32" i="27"/>
  <c r="F58" i="29"/>
  <c r="C6" i="21"/>
  <c r="AB119" i="27"/>
  <c r="H22" i="13"/>
  <c r="H46" i="29" s="1"/>
  <c r="H48" i="29" s="1"/>
  <c r="H22" i="24"/>
  <c r="N46" i="29" s="1"/>
  <c r="N48" i="29" s="1"/>
  <c r="C17" i="23"/>
  <c r="M47" i="30" s="1"/>
  <c r="M19" i="27"/>
  <c r="M21" i="27" s="1"/>
  <c r="C19" i="23"/>
  <c r="C10" i="23"/>
  <c r="K6" i="25"/>
  <c r="K7" i="25" s="1"/>
  <c r="K8" i="25" s="1"/>
  <c r="K20" i="25"/>
  <c r="K9" i="25" s="1"/>
  <c r="K31" i="10"/>
  <c r="H22" i="17"/>
  <c r="J46" i="29" s="1"/>
  <c r="J48" i="29" s="1"/>
  <c r="C8" i="24"/>
  <c r="C8" i="23"/>
  <c r="H22" i="19"/>
  <c r="K46" i="29" s="1"/>
  <c r="K48" i="29" s="1"/>
  <c r="F68" i="21"/>
  <c r="G68" i="21" s="1"/>
  <c r="H68" i="21" s="1"/>
  <c r="H22" i="21" s="1"/>
  <c r="L46" i="29" s="1"/>
  <c r="L48" i="29" s="1"/>
  <c r="C6" i="19"/>
  <c r="C6" i="17"/>
  <c r="F66" i="15"/>
  <c r="G66" i="15" s="1"/>
  <c r="H66" i="15" s="1"/>
  <c r="F23" i="15"/>
  <c r="G23" i="15" s="1"/>
  <c r="H23" i="15" s="1"/>
  <c r="G40" i="15"/>
  <c r="H40" i="15" s="1"/>
  <c r="C6" i="15"/>
  <c r="C6" i="13"/>
  <c r="K22" i="10"/>
  <c r="O56" i="10"/>
  <c r="P56" i="10" s="1"/>
  <c r="O55" i="10"/>
  <c r="P55" i="10" s="1"/>
  <c r="M20" i="27" l="1"/>
  <c r="M47" i="29"/>
  <c r="C10" i="21"/>
  <c r="H22" i="15"/>
  <c r="I46" i="29" s="1"/>
  <c r="I48" i="29" s="1"/>
  <c r="L19" i="27"/>
  <c r="L21" i="27" s="1"/>
  <c r="C19" i="21"/>
  <c r="C17" i="21"/>
  <c r="L47" i="30" s="1"/>
  <c r="J19" i="27"/>
  <c r="J21" i="27" s="1"/>
  <c r="C19" i="17"/>
  <c r="K21" i="25"/>
  <c r="K22" i="25" s="1"/>
  <c r="K23" i="25" s="1"/>
  <c r="K24" i="25" s="1"/>
  <c r="K25" i="25" s="1"/>
  <c r="K26" i="25" s="1"/>
  <c r="K27" i="25" s="1"/>
  <c r="K28" i="25" s="1"/>
  <c r="K10" i="25" s="1"/>
  <c r="I13" i="25" s="1"/>
  <c r="K19" i="27"/>
  <c r="K21" i="27" s="1"/>
  <c r="C19" i="19"/>
  <c r="H19" i="27"/>
  <c r="H21" i="27" s="1"/>
  <c r="C19" i="13"/>
  <c r="C17" i="13"/>
  <c r="H47" i="30" s="1"/>
  <c r="N19" i="27"/>
  <c r="C19" i="24"/>
  <c r="C17" i="24"/>
  <c r="N47" i="30" s="1"/>
  <c r="C8" i="21"/>
  <c r="C10" i="13"/>
  <c r="C10" i="17"/>
  <c r="C17" i="17"/>
  <c r="J47" i="30" s="1"/>
  <c r="C8" i="19"/>
  <c r="C17" i="19"/>
  <c r="K47" i="30" s="1"/>
  <c r="C10" i="19"/>
  <c r="C10" i="15"/>
  <c r="C8" i="17"/>
  <c r="C8" i="15"/>
  <c r="C8" i="13"/>
  <c r="K20" i="27" l="1"/>
  <c r="K47" i="29"/>
  <c r="H20" i="27"/>
  <c r="H47" i="29"/>
  <c r="J20" i="27"/>
  <c r="J47" i="29"/>
  <c r="L20" i="27"/>
  <c r="L47" i="29"/>
  <c r="N20" i="27"/>
  <c r="N47" i="29"/>
  <c r="C17" i="15"/>
  <c r="I47" i="30" s="1"/>
  <c r="I19" i="27"/>
  <c r="I21" i="27" s="1"/>
  <c r="C19" i="15"/>
  <c r="I20" i="27" l="1"/>
  <c r="I47" i="29"/>
  <c r="F20" i="11"/>
  <c r="H20" i="11" s="1"/>
  <c r="K18" i="11"/>
  <c r="D36" i="11"/>
  <c r="D62" i="11"/>
  <c r="F61" i="11"/>
  <c r="H61" i="11" s="1"/>
  <c r="L24" i="11" s="1"/>
  <c r="F60" i="11"/>
  <c r="H60" i="11" s="1"/>
  <c r="L23" i="11" s="1"/>
  <c r="F58" i="11"/>
  <c r="H58" i="11" s="1"/>
  <c r="F57" i="11"/>
  <c r="H57" i="11" s="1"/>
  <c r="F55" i="11"/>
  <c r="H55" i="11" s="1"/>
  <c r="F53" i="11"/>
  <c r="H53" i="11" s="1"/>
  <c r="L36" i="11" s="1"/>
  <c r="F52" i="11"/>
  <c r="H52" i="11" s="1"/>
  <c r="F51" i="11"/>
  <c r="H51" i="11" s="1"/>
  <c r="F48" i="11"/>
  <c r="H48" i="11" s="1"/>
  <c r="F47" i="11"/>
  <c r="H47" i="11" s="1"/>
  <c r="F46" i="11"/>
  <c r="H46" i="11" s="1"/>
  <c r="F45" i="11"/>
  <c r="H45" i="11" s="1"/>
  <c r="F43" i="11"/>
  <c r="H43" i="11" s="1"/>
  <c r="L22" i="11" s="1"/>
  <c r="F42" i="11"/>
  <c r="H42" i="11" s="1"/>
  <c r="L21" i="11" s="1"/>
  <c r="F41" i="11"/>
  <c r="H41" i="11" s="1"/>
  <c r="L20" i="11" s="1"/>
  <c r="F40" i="11"/>
  <c r="H40" i="11" s="1"/>
  <c r="L19" i="11" s="1"/>
  <c r="F35" i="11"/>
  <c r="H35" i="11" s="1"/>
  <c r="F34" i="11"/>
  <c r="H34" i="11" s="1"/>
  <c r="F25" i="11"/>
  <c r="H25" i="11" s="1"/>
  <c r="F26" i="11"/>
  <c r="H26" i="11" s="1"/>
  <c r="L29" i="11" s="1"/>
  <c r="F27" i="11"/>
  <c r="H27" i="11" s="1"/>
  <c r="F28" i="11"/>
  <c r="H28" i="11" s="1"/>
  <c r="L31" i="11" s="1"/>
  <c r="F29" i="11"/>
  <c r="H29" i="11" s="1"/>
  <c r="L32" i="11" s="1"/>
  <c r="F30" i="11"/>
  <c r="H30" i="11" s="1"/>
  <c r="L25" i="11" s="1"/>
  <c r="F31" i="11"/>
  <c r="H31" i="11" s="1"/>
  <c r="L26" i="11" s="1"/>
  <c r="F32" i="11"/>
  <c r="H32" i="11" s="1"/>
  <c r="L27" i="11" s="1"/>
  <c r="F21" i="11"/>
  <c r="H21" i="11" s="1"/>
  <c r="F22" i="11"/>
  <c r="H22" i="11" s="1"/>
  <c r="F23" i="11"/>
  <c r="H23" i="11" s="1"/>
  <c r="F24" i="11"/>
  <c r="H24" i="11" s="1"/>
  <c r="C135" i="11"/>
  <c r="C69" i="11"/>
  <c r="C18" i="11" s="1"/>
  <c r="E62" i="11"/>
  <c r="F62" i="11" s="1"/>
  <c r="H62" i="11" s="1"/>
  <c r="E36" i="11"/>
  <c r="F36" i="11" s="1"/>
  <c r="H36" i="11" s="1"/>
  <c r="I30" i="10"/>
  <c r="J30" i="10" s="1"/>
  <c r="I29" i="10"/>
  <c r="J29" i="10" s="1"/>
  <c r="F56" i="30" s="1"/>
  <c r="I28" i="10"/>
  <c r="J28" i="10" s="1"/>
  <c r="I27" i="10"/>
  <c r="J27" i="10" s="1"/>
  <c r="I26" i="10"/>
  <c r="J26" i="10" s="1"/>
  <c r="I25" i="10"/>
  <c r="J25" i="10" s="1"/>
  <c r="G33" i="10"/>
  <c r="G30" i="10"/>
  <c r="L30" i="10" s="1"/>
  <c r="G29" i="10"/>
  <c r="L29" i="10" s="1"/>
  <c r="G28" i="10"/>
  <c r="L28" i="10" s="1"/>
  <c r="G27" i="10"/>
  <c r="L27" i="10" s="1"/>
  <c r="G26" i="10"/>
  <c r="L26" i="10" s="1"/>
  <c r="G25" i="10"/>
  <c r="L25" i="10" s="1"/>
  <c r="F74" i="29" l="1"/>
  <c r="F72" i="29"/>
  <c r="O46" i="30"/>
  <c r="S46" i="30"/>
  <c r="P46" i="30"/>
  <c r="R46" i="30"/>
  <c r="Q46" i="30"/>
  <c r="T46" i="30"/>
  <c r="U46" i="30"/>
  <c r="V46" i="30"/>
  <c r="W46" i="30"/>
  <c r="X46" i="30"/>
  <c r="Z46" i="30"/>
  <c r="Z47" i="30" s="1"/>
  <c r="AA39" i="9" s="1"/>
  <c r="Y46" i="30"/>
  <c r="AA46" i="30"/>
  <c r="AA47" i="30" s="1"/>
  <c r="AB39" i="9" s="1"/>
  <c r="F31" i="27"/>
  <c r="F57" i="29"/>
  <c r="F36" i="27"/>
  <c r="F62" i="29"/>
  <c r="F30" i="27"/>
  <c r="F56" i="29"/>
  <c r="F37" i="27"/>
  <c r="F63" i="29"/>
  <c r="F41" i="27"/>
  <c r="F40" i="27" s="1"/>
  <c r="F42" i="27"/>
  <c r="F34" i="27"/>
  <c r="F35" i="27"/>
  <c r="L30" i="11"/>
  <c r="L18" i="11" s="1"/>
  <c r="H18" i="11"/>
  <c r="K27" i="10"/>
  <c r="K25" i="10"/>
  <c r="K26" i="10"/>
  <c r="K30" i="10"/>
  <c r="K28" i="10"/>
  <c r="K29" i="10"/>
  <c r="Q48" i="30" l="1"/>
  <c r="Q47" i="30"/>
  <c r="R39" i="9" s="1"/>
  <c r="T48" i="30"/>
  <c r="T47" i="30"/>
  <c r="U39" i="9" s="1"/>
  <c r="Y48" i="30"/>
  <c r="Y47" i="30"/>
  <c r="Z39" i="9" s="1"/>
  <c r="R48" i="30"/>
  <c r="R47" i="30"/>
  <c r="S39" i="9" s="1"/>
  <c r="Q19" i="27"/>
  <c r="Q21" i="27" s="1"/>
  <c r="X48" i="30"/>
  <c r="X47" i="30"/>
  <c r="Y39" i="9" s="1"/>
  <c r="S48" i="30"/>
  <c r="S47" i="30"/>
  <c r="T39" i="9" s="1"/>
  <c r="W48" i="30"/>
  <c r="W47" i="30"/>
  <c r="X39" i="9" s="1"/>
  <c r="O48" i="30"/>
  <c r="O47" i="30"/>
  <c r="P39" i="9" s="1"/>
  <c r="V48" i="30"/>
  <c r="V47" i="30"/>
  <c r="W39" i="9" s="1"/>
  <c r="P48" i="30"/>
  <c r="P47" i="30"/>
  <c r="Q39" i="9" s="1"/>
  <c r="F39" i="27"/>
  <c r="U48" i="30"/>
  <c r="U47" i="30"/>
  <c r="V39" i="9" s="1"/>
  <c r="F60" i="29"/>
  <c r="F61" i="29"/>
  <c r="U46" i="29"/>
  <c r="AA19" i="27"/>
  <c r="R19" i="27"/>
  <c r="R21" i="27" s="1"/>
  <c r="P19" i="27"/>
  <c r="C13" i="11"/>
  <c r="D14" i="10" s="1"/>
  <c r="M29" i="10" l="1"/>
  <c r="M31" i="10"/>
  <c r="M27" i="10"/>
  <c r="Q20" i="27"/>
  <c r="M24" i="10"/>
  <c r="M23" i="10"/>
  <c r="M28" i="10"/>
  <c r="M26" i="10"/>
  <c r="O47" i="29"/>
  <c r="P33" i="9" s="1"/>
  <c r="X46" i="29"/>
  <c r="X48" i="29" s="1"/>
  <c r="T46" i="29"/>
  <c r="T47" i="29" s="1"/>
  <c r="U33" i="9" s="1"/>
  <c r="P46" i="29"/>
  <c r="P48" i="29" s="1"/>
  <c r="Q46" i="29"/>
  <c r="Q48" i="29" s="1"/>
  <c r="V46" i="29"/>
  <c r="V48" i="29" s="1"/>
  <c r="R46" i="29"/>
  <c r="R48" i="29" s="1"/>
  <c r="AA46" i="29"/>
  <c r="AA47" i="29" s="1"/>
  <c r="AB33" i="9" s="1"/>
  <c r="Z46" i="29"/>
  <c r="Z48" i="29" s="1"/>
  <c r="W46" i="29"/>
  <c r="W47" i="29" s="1"/>
  <c r="X33" i="9" s="1"/>
  <c r="Y46" i="29"/>
  <c r="Y47" i="29" s="1"/>
  <c r="Z33" i="9" s="1"/>
  <c r="S46" i="29"/>
  <c r="S47" i="29" s="1"/>
  <c r="T33" i="9" s="1"/>
  <c r="U47" i="29"/>
  <c r="V33" i="9" s="1"/>
  <c r="U48" i="29"/>
  <c r="P20" i="27"/>
  <c r="P21" i="27"/>
  <c r="M30" i="10"/>
  <c r="M22" i="10"/>
  <c r="M25" i="10"/>
  <c r="F60" i="10"/>
  <c r="G50" i="10"/>
  <c r="G44" i="10"/>
  <c r="G45" i="10"/>
  <c r="G46" i="10"/>
  <c r="G59" i="10" s="1"/>
  <c r="F59" i="10" s="1"/>
  <c r="G47" i="10"/>
  <c r="G48" i="10"/>
  <c r="G49" i="10"/>
  <c r="G51" i="10"/>
  <c r="G52" i="10"/>
  <c r="G53" i="10"/>
  <c r="G54" i="10"/>
  <c r="G43" i="10"/>
  <c r="G80" i="10"/>
  <c r="G79" i="10"/>
  <c r="G75" i="10"/>
  <c r="G74" i="10"/>
  <c r="G73" i="10"/>
  <c r="G65" i="10"/>
  <c r="G66" i="10"/>
  <c r="G67" i="10"/>
  <c r="G68" i="10"/>
  <c r="G69" i="10"/>
  <c r="G70" i="10"/>
  <c r="T65" i="10"/>
  <c r="G64" i="10"/>
  <c r="Q47" i="29" l="1"/>
  <c r="R33" i="9" s="1"/>
  <c r="X47" i="29"/>
  <c r="Y33" i="9" s="1"/>
  <c r="P47" i="29"/>
  <c r="Q33" i="9" s="1"/>
  <c r="T48" i="29"/>
  <c r="AA48" i="29"/>
  <c r="O48" i="29"/>
  <c r="R47" i="29"/>
  <c r="S33" i="9" s="1"/>
  <c r="Y48" i="29"/>
  <c r="Z47" i="29"/>
  <c r="AA33" i="9" s="1"/>
  <c r="V47" i="29"/>
  <c r="W33" i="9" s="1"/>
  <c r="S48" i="29"/>
  <c r="W48" i="29"/>
  <c r="M25" i="8"/>
  <c r="M30" i="8"/>
  <c r="M31" i="8"/>
  <c r="M32" i="8"/>
  <c r="M34" i="8"/>
  <c r="K16" i="8" l="1"/>
  <c r="K17" i="8" s="1"/>
  <c r="K18" i="8" s="1"/>
  <c r="C126" i="5"/>
  <c r="C134" i="6"/>
  <c r="C140" i="7"/>
  <c r="K19" i="8" l="1"/>
  <c r="C23" i="7"/>
  <c r="C9" i="7" s="1"/>
  <c r="G47" i="7"/>
  <c r="L18" i="8" s="1"/>
  <c r="M18" i="8" s="1"/>
  <c r="F46" i="7"/>
  <c r="G46" i="7" s="1"/>
  <c r="L17" i="8" s="1"/>
  <c r="M17" i="8" s="1"/>
  <c r="F47" i="7"/>
  <c r="F48" i="7"/>
  <c r="G48" i="7" s="1"/>
  <c r="L19" i="8" s="1"/>
  <c r="M19" i="8" s="1"/>
  <c r="F45" i="7"/>
  <c r="G45" i="7" s="1"/>
  <c r="L16" i="8" s="1"/>
  <c r="M16" i="8" s="1"/>
  <c r="D44" i="7"/>
  <c r="E44" i="7" s="1"/>
  <c r="F44" i="7" s="1"/>
  <c r="G44" i="7" s="1"/>
  <c r="H44" i="7" s="1"/>
  <c r="D49" i="7"/>
  <c r="E49" i="7" s="1"/>
  <c r="F49" i="7" s="1"/>
  <c r="G49" i="7" s="1"/>
  <c r="H49" i="7" s="1"/>
  <c r="F25" i="7"/>
  <c r="G25" i="7" s="1"/>
  <c r="H25" i="7" s="1"/>
  <c r="D24" i="7"/>
  <c r="C74" i="7"/>
  <c r="F71" i="7"/>
  <c r="G71" i="7" s="1"/>
  <c r="H71" i="7" s="1"/>
  <c r="F70" i="7"/>
  <c r="G70" i="7" s="1"/>
  <c r="H70" i="7" s="1"/>
  <c r="F69" i="7"/>
  <c r="G69" i="7" s="1"/>
  <c r="H69" i="7" s="1"/>
  <c r="F68" i="7"/>
  <c r="G68" i="7" s="1"/>
  <c r="H68" i="7" s="1"/>
  <c r="D67" i="7"/>
  <c r="E67" i="7" s="1"/>
  <c r="F67" i="7" s="1"/>
  <c r="G67" i="7" s="1"/>
  <c r="H67" i="7" s="1"/>
  <c r="F66" i="7"/>
  <c r="G66" i="7" s="1"/>
  <c r="F65" i="7"/>
  <c r="G65" i="7" s="1"/>
  <c r="D64" i="7"/>
  <c r="E64" i="7" s="1"/>
  <c r="F64" i="7" s="1"/>
  <c r="G64" i="7" s="1"/>
  <c r="H64" i="7" s="1"/>
  <c r="F63" i="7"/>
  <c r="G63" i="7" s="1"/>
  <c r="H63" i="7" s="1"/>
  <c r="F62" i="7"/>
  <c r="G62" i="7" s="1"/>
  <c r="H62" i="7" s="1"/>
  <c r="D61" i="7"/>
  <c r="E61" i="7" s="1"/>
  <c r="F61" i="7" s="1"/>
  <c r="G61" i="7" s="1"/>
  <c r="H61" i="7" s="1"/>
  <c r="F60" i="7"/>
  <c r="G60" i="7" s="1"/>
  <c r="H60" i="7" s="1"/>
  <c r="E59" i="7"/>
  <c r="F59" i="7" s="1"/>
  <c r="G59" i="7" s="1"/>
  <c r="H59" i="7" s="1"/>
  <c r="D59" i="7"/>
  <c r="F58" i="7"/>
  <c r="G58" i="7" s="1"/>
  <c r="F57" i="7"/>
  <c r="G57" i="7" s="1"/>
  <c r="H57" i="7" s="1"/>
  <c r="F56" i="7"/>
  <c r="G56" i="7" s="1"/>
  <c r="H56" i="7" s="1"/>
  <c r="F53" i="7"/>
  <c r="G53" i="7" s="1"/>
  <c r="H53" i="7" s="1"/>
  <c r="F52" i="7"/>
  <c r="G52" i="7" s="1"/>
  <c r="H52" i="7" s="1"/>
  <c r="F51" i="7"/>
  <c r="G51" i="7" s="1"/>
  <c r="H51" i="7" s="1"/>
  <c r="F50" i="7"/>
  <c r="G50" i="7" s="1"/>
  <c r="H50" i="7" s="1"/>
  <c r="F43" i="7"/>
  <c r="G43" i="7" s="1"/>
  <c r="F42" i="7"/>
  <c r="G42" i="7" s="1"/>
  <c r="D41" i="7"/>
  <c r="E41" i="7" s="1"/>
  <c r="F41" i="7" s="1"/>
  <c r="G41" i="7" s="1"/>
  <c r="H41" i="7" s="1"/>
  <c r="F40" i="7"/>
  <c r="G40" i="7" s="1"/>
  <c r="H40" i="7" s="1"/>
  <c r="F39" i="7"/>
  <c r="G39" i="7" s="1"/>
  <c r="H39" i="7" s="1"/>
  <c r="D38" i="7"/>
  <c r="E38" i="7" s="1"/>
  <c r="F38" i="7" s="1"/>
  <c r="G38" i="7" s="1"/>
  <c r="H38" i="7" s="1"/>
  <c r="F37" i="7"/>
  <c r="G37" i="7" s="1"/>
  <c r="L24" i="8" s="1"/>
  <c r="M24" i="8" s="1"/>
  <c r="F36" i="7"/>
  <c r="G36" i="7" s="1"/>
  <c r="L23" i="8" s="1"/>
  <c r="M23" i="8" s="1"/>
  <c r="F35" i="7"/>
  <c r="G35" i="7" s="1"/>
  <c r="L22" i="8" s="1"/>
  <c r="M22" i="8" s="1"/>
  <c r="F34" i="7"/>
  <c r="G34" i="7" s="1"/>
  <c r="F33" i="7"/>
  <c r="G33" i="7" s="1"/>
  <c r="F32" i="7"/>
  <c r="G32" i="7" s="1"/>
  <c r="F31" i="7"/>
  <c r="G31" i="7" s="1"/>
  <c r="F30" i="7"/>
  <c r="G30" i="7" s="1"/>
  <c r="H30" i="7" s="1"/>
  <c r="F29" i="7"/>
  <c r="G29" i="7" s="1"/>
  <c r="H29" i="7" s="1"/>
  <c r="F28" i="7"/>
  <c r="G28" i="7" s="1"/>
  <c r="H28" i="7" s="1"/>
  <c r="F27" i="7"/>
  <c r="G27" i="7" s="1"/>
  <c r="H27" i="7" s="1"/>
  <c r="F26" i="7"/>
  <c r="G26" i="7" s="1"/>
  <c r="H26" i="7" s="1"/>
  <c r="C22" i="6"/>
  <c r="C9" i="6" s="1"/>
  <c r="C68" i="6"/>
  <c r="F65" i="6"/>
  <c r="G65" i="6" s="1"/>
  <c r="H65" i="6" s="1"/>
  <c r="F64" i="6"/>
  <c r="G64" i="6" s="1"/>
  <c r="H64" i="6" s="1"/>
  <c r="F63" i="6"/>
  <c r="G63" i="6" s="1"/>
  <c r="H63" i="6" s="1"/>
  <c r="F62" i="6"/>
  <c r="G62" i="6" s="1"/>
  <c r="H62" i="6" s="1"/>
  <c r="F60" i="6"/>
  <c r="G60" i="6" s="1"/>
  <c r="H60" i="6" s="1"/>
  <c r="F59" i="6"/>
  <c r="G59" i="6" s="1"/>
  <c r="H59" i="6" s="1"/>
  <c r="F57" i="6"/>
  <c r="G57" i="6" s="1"/>
  <c r="H57" i="6" s="1"/>
  <c r="F56" i="6"/>
  <c r="G56" i="6" s="1"/>
  <c r="H56" i="6" s="1"/>
  <c r="F54" i="6"/>
  <c r="G54" i="6" s="1"/>
  <c r="H54" i="6" s="1"/>
  <c r="F52" i="6"/>
  <c r="G52" i="6" s="1"/>
  <c r="H52" i="6" s="1"/>
  <c r="F51" i="6"/>
  <c r="G51" i="6" s="1"/>
  <c r="H51" i="6" s="1"/>
  <c r="F50" i="6"/>
  <c r="G50" i="6" s="1"/>
  <c r="H50" i="6" s="1"/>
  <c r="F49" i="6"/>
  <c r="G49" i="6" s="1"/>
  <c r="H49" i="6" s="1"/>
  <c r="F48" i="6"/>
  <c r="G48" i="6" s="1"/>
  <c r="H48" i="6" s="1"/>
  <c r="F47" i="6"/>
  <c r="G47" i="6" s="1"/>
  <c r="H47" i="6" s="1"/>
  <c r="F46" i="6"/>
  <c r="G46" i="6" s="1"/>
  <c r="H46" i="6" s="1"/>
  <c r="F45" i="6"/>
  <c r="G45" i="6" s="1"/>
  <c r="H45" i="6" s="1"/>
  <c r="F44" i="6"/>
  <c r="G44" i="6" s="1"/>
  <c r="H44" i="6" s="1"/>
  <c r="F42" i="6"/>
  <c r="G42" i="6" s="1"/>
  <c r="F41" i="6"/>
  <c r="G41" i="6" s="1"/>
  <c r="F39" i="6"/>
  <c r="G39" i="6" s="1"/>
  <c r="H39" i="6" s="1"/>
  <c r="F38" i="6"/>
  <c r="G38" i="6" s="1"/>
  <c r="H38" i="6" s="1"/>
  <c r="F25" i="6"/>
  <c r="G25" i="6" s="1"/>
  <c r="H25" i="6" s="1"/>
  <c r="F26" i="6"/>
  <c r="G26" i="6" s="1"/>
  <c r="H26" i="6" s="1"/>
  <c r="F27" i="6"/>
  <c r="G27" i="6" s="1"/>
  <c r="H27" i="6" s="1"/>
  <c r="F28" i="6"/>
  <c r="G28" i="6" s="1"/>
  <c r="H28" i="6" s="1"/>
  <c r="F29" i="6"/>
  <c r="G29" i="6" s="1"/>
  <c r="H29" i="6" s="1"/>
  <c r="F30" i="6"/>
  <c r="G30" i="6" s="1"/>
  <c r="H30" i="6" s="1"/>
  <c r="F31" i="6"/>
  <c r="G31" i="6" s="1"/>
  <c r="H31" i="6" s="1"/>
  <c r="F32" i="6"/>
  <c r="G32" i="6" s="1"/>
  <c r="H32" i="6" s="1"/>
  <c r="F33" i="6"/>
  <c r="G33" i="6" s="1"/>
  <c r="H33" i="6" s="1"/>
  <c r="F34" i="6"/>
  <c r="G34" i="6" s="1"/>
  <c r="H34" i="6" s="1"/>
  <c r="F35" i="6"/>
  <c r="G35" i="6" s="1"/>
  <c r="H35" i="6" s="1"/>
  <c r="F36" i="6"/>
  <c r="G36" i="6" s="1"/>
  <c r="H36" i="6" s="1"/>
  <c r="F24" i="6"/>
  <c r="G24" i="6" s="1"/>
  <c r="H24" i="6" s="1"/>
  <c r="E53" i="6"/>
  <c r="F53" i="6" s="1"/>
  <c r="G53" i="6" s="1"/>
  <c r="H53" i="6" s="1"/>
  <c r="D61" i="6"/>
  <c r="E61" i="6" s="1"/>
  <c r="F61" i="6" s="1"/>
  <c r="G61" i="6" s="1"/>
  <c r="H61" i="6" s="1"/>
  <c r="D58" i="6"/>
  <c r="E58" i="6" s="1"/>
  <c r="F58" i="6" s="1"/>
  <c r="G58" i="6" s="1"/>
  <c r="H58" i="6" s="1"/>
  <c r="D55" i="6"/>
  <c r="E55" i="6" s="1"/>
  <c r="F55" i="6" s="1"/>
  <c r="G55" i="6" s="1"/>
  <c r="H55" i="6" s="1"/>
  <c r="D53" i="6"/>
  <c r="D43" i="6"/>
  <c r="E43" i="6" s="1"/>
  <c r="F43" i="6" s="1"/>
  <c r="G43" i="6" s="1"/>
  <c r="H43" i="6" s="1"/>
  <c r="D40" i="6"/>
  <c r="E40" i="6" s="1"/>
  <c r="F40" i="6" s="1"/>
  <c r="G40" i="6" s="1"/>
  <c r="H40" i="6" s="1"/>
  <c r="D37" i="6"/>
  <c r="E37" i="6" s="1"/>
  <c r="F37" i="6" s="1"/>
  <c r="G37" i="6" s="1"/>
  <c r="H37" i="6" s="1"/>
  <c r="D23" i="6"/>
  <c r="E23" i="6" s="1"/>
  <c r="F23" i="6" s="1"/>
  <c r="G23" i="6" s="1"/>
  <c r="H23" i="6" s="1"/>
  <c r="E24" i="7" l="1"/>
  <c r="F24" i="7" s="1"/>
  <c r="G24" i="7" s="1"/>
  <c r="H24" i="7" s="1"/>
  <c r="H33" i="7"/>
  <c r="L28" i="8"/>
  <c r="M28" i="8" s="1"/>
  <c r="H32" i="7"/>
  <c r="L27" i="8"/>
  <c r="M27" i="8" s="1"/>
  <c r="H35" i="7"/>
  <c r="H46" i="7"/>
  <c r="H65" i="7"/>
  <c r="L20" i="8"/>
  <c r="M20" i="8" s="1"/>
  <c r="H47" i="7"/>
  <c r="H66" i="7"/>
  <c r="L21" i="8"/>
  <c r="M21" i="8" s="1"/>
  <c r="H48" i="7"/>
  <c r="H58" i="7"/>
  <c r="L33" i="8"/>
  <c r="M33" i="8" s="1"/>
  <c r="H34" i="7"/>
  <c r="L29" i="8"/>
  <c r="M29" i="8" s="1"/>
  <c r="H37" i="7"/>
  <c r="H45" i="7"/>
  <c r="H31" i="7"/>
  <c r="L26" i="8"/>
  <c r="M26" i="8" s="1"/>
  <c r="H36" i="7"/>
  <c r="K20" i="8"/>
  <c r="C7" i="6"/>
  <c r="C6" i="6" s="1"/>
  <c r="C7" i="7"/>
  <c r="C6" i="7" s="1"/>
  <c r="H22" i="6"/>
  <c r="C19" i="6" s="1"/>
  <c r="C17" i="6" l="1"/>
  <c r="K6" i="8"/>
  <c r="K7" i="8" s="1"/>
  <c r="K8" i="8" s="1"/>
  <c r="H23" i="7"/>
  <c r="G46" i="29" s="1"/>
  <c r="G48" i="29" s="1"/>
  <c r="K21" i="8"/>
  <c r="K9" i="8"/>
  <c r="C8" i="7"/>
  <c r="C10" i="7"/>
  <c r="C8" i="6"/>
  <c r="C10" i="6"/>
  <c r="C17" i="7" l="1"/>
  <c r="G47" i="30" s="1"/>
  <c r="G19" i="27"/>
  <c r="G21" i="27" s="1"/>
  <c r="C19" i="7"/>
  <c r="K22" i="8"/>
  <c r="E32" i="5"/>
  <c r="E48" i="5"/>
  <c r="E50" i="5"/>
  <c r="C60" i="5"/>
  <c r="C7" i="5" s="1"/>
  <c r="C17" i="5"/>
  <c r="C9" i="5" s="1"/>
  <c r="E54" i="3"/>
  <c r="E53" i="3"/>
  <c r="F54" i="3" s="1"/>
  <c r="E52" i="3"/>
  <c r="F53" i="3" s="1"/>
  <c r="E46" i="3"/>
  <c r="E35" i="3"/>
  <c r="E36" i="3"/>
  <c r="F36" i="3" s="1"/>
  <c r="E37" i="3"/>
  <c r="E38" i="3"/>
  <c r="F39" i="3" s="1"/>
  <c r="E39" i="3"/>
  <c r="E40" i="3"/>
  <c r="F40" i="3" s="1"/>
  <c r="E41" i="3"/>
  <c r="E34" i="3"/>
  <c r="F34" i="3" s="1"/>
  <c r="E31" i="3"/>
  <c r="F31" i="3" s="1"/>
  <c r="M54" i="3"/>
  <c r="N54" i="3" s="1"/>
  <c r="M53" i="3"/>
  <c r="N53" i="3" s="1"/>
  <c r="M52" i="3"/>
  <c r="N52" i="3" s="1"/>
  <c r="M51" i="3"/>
  <c r="N51" i="3" s="1"/>
  <c r="M49" i="3"/>
  <c r="N49" i="3" s="1"/>
  <c r="M48" i="3"/>
  <c r="N48" i="3" s="1"/>
  <c r="M46" i="3"/>
  <c r="N46" i="3" s="1"/>
  <c r="M45" i="3"/>
  <c r="N45" i="3" s="1"/>
  <c r="M43" i="3"/>
  <c r="N43" i="3" s="1"/>
  <c r="M35" i="3"/>
  <c r="N35" i="3" s="1"/>
  <c r="M36" i="3"/>
  <c r="N36" i="3" s="1"/>
  <c r="M37" i="3"/>
  <c r="N37" i="3" s="1"/>
  <c r="M38" i="3"/>
  <c r="N38" i="3" s="1"/>
  <c r="M39" i="3"/>
  <c r="N39" i="3" s="1"/>
  <c r="M40" i="3"/>
  <c r="N40" i="3" s="1"/>
  <c r="M41" i="3"/>
  <c r="N41" i="3" s="1"/>
  <c r="M34" i="3"/>
  <c r="N34" i="3" s="1"/>
  <c r="M33" i="3"/>
  <c r="N33" i="3" s="1"/>
  <c r="M31" i="3"/>
  <c r="N31" i="3" s="1"/>
  <c r="M30" i="3"/>
  <c r="N30" i="3" s="1"/>
  <c r="M28" i="3"/>
  <c r="N28" i="3" s="1"/>
  <c r="M27" i="3"/>
  <c r="N27" i="3" s="1"/>
  <c r="M14" i="3"/>
  <c r="M15" i="3"/>
  <c r="N15" i="3" s="1"/>
  <c r="M16" i="3"/>
  <c r="N16" i="3" s="1"/>
  <c r="M17" i="3"/>
  <c r="N17" i="3" s="1"/>
  <c r="M18" i="3"/>
  <c r="N18" i="3" s="1"/>
  <c r="M19" i="3"/>
  <c r="N19" i="3" s="1"/>
  <c r="M20" i="3"/>
  <c r="N20" i="3" s="1"/>
  <c r="M21" i="3"/>
  <c r="N21" i="3" s="1"/>
  <c r="M22" i="3"/>
  <c r="N22" i="3" s="1"/>
  <c r="M23" i="3"/>
  <c r="N23" i="3" s="1"/>
  <c r="M24" i="3"/>
  <c r="N24" i="3" s="1"/>
  <c r="M25" i="3"/>
  <c r="N25" i="3" s="1"/>
  <c r="J25" i="3" s="1"/>
  <c r="D31" i="5" s="1"/>
  <c r="E31" i="5" s="1"/>
  <c r="E14" i="3"/>
  <c r="F15" i="3" s="1"/>
  <c r="E15" i="3"/>
  <c r="F16" i="3" s="1"/>
  <c r="E16" i="3"/>
  <c r="F17" i="3" s="1"/>
  <c r="E17" i="3"/>
  <c r="F18" i="3" s="1"/>
  <c r="J18" i="3" s="1"/>
  <c r="D24" i="5" s="1"/>
  <c r="E24" i="5" s="1"/>
  <c r="E18" i="3"/>
  <c r="F19" i="3" s="1"/>
  <c r="E19" i="3"/>
  <c r="F20" i="3" s="1"/>
  <c r="E20" i="3"/>
  <c r="F21" i="3" s="1"/>
  <c r="E21" i="3"/>
  <c r="F22" i="3" s="1"/>
  <c r="E22" i="3"/>
  <c r="E13" i="3"/>
  <c r="F14" i="3" s="1"/>
  <c r="E28" i="3"/>
  <c r="F28" i="3" s="1"/>
  <c r="J28" i="3" s="1"/>
  <c r="D34" i="5" s="1"/>
  <c r="E34" i="5" s="1"/>
  <c r="M13" i="3"/>
  <c r="N13" i="3" s="1"/>
  <c r="N14" i="3"/>
  <c r="G20" i="27" l="1"/>
  <c r="G47" i="29"/>
  <c r="J34" i="3"/>
  <c r="D40" i="5" s="1"/>
  <c r="E40" i="5" s="1"/>
  <c r="J17" i="3"/>
  <c r="D23" i="5" s="1"/>
  <c r="E23" i="5" s="1"/>
  <c r="F38" i="3"/>
  <c r="F37" i="3"/>
  <c r="J37" i="3" s="1"/>
  <c r="D43" i="5" s="1"/>
  <c r="E43" i="5" s="1"/>
  <c r="J16" i="3"/>
  <c r="D22" i="5" s="1"/>
  <c r="E22" i="5" s="1"/>
  <c r="F41" i="3"/>
  <c r="J41" i="3" s="1"/>
  <c r="D47" i="5" s="1"/>
  <c r="E47" i="5" s="1"/>
  <c r="J14" i="3"/>
  <c r="D20" i="5" s="1"/>
  <c r="E20" i="5" s="1"/>
  <c r="J36" i="3"/>
  <c r="D42" i="5" s="1"/>
  <c r="E42" i="5" s="1"/>
  <c r="J15" i="3"/>
  <c r="D21" i="5" s="1"/>
  <c r="E21" i="5" s="1"/>
  <c r="J21" i="3"/>
  <c r="D27" i="5" s="1"/>
  <c r="E27" i="5" s="1"/>
  <c r="J38" i="3"/>
  <c r="D44" i="5" s="1"/>
  <c r="E44" i="5" s="1"/>
  <c r="J54" i="3"/>
  <c r="J22" i="3"/>
  <c r="D28" i="5" s="1"/>
  <c r="E28" i="5" s="1"/>
  <c r="J20" i="3"/>
  <c r="D26" i="5" s="1"/>
  <c r="E26" i="5" s="1"/>
  <c r="J40" i="3"/>
  <c r="D46" i="5" s="1"/>
  <c r="E46" i="5" s="1"/>
  <c r="J19" i="3"/>
  <c r="D25" i="5" s="1"/>
  <c r="E25" i="5" s="1"/>
  <c r="J31" i="3"/>
  <c r="J39" i="3"/>
  <c r="D45" i="5" s="1"/>
  <c r="E45" i="5" s="1"/>
  <c r="K23" i="8"/>
  <c r="J53" i="3"/>
  <c r="F35" i="3"/>
  <c r="J35" i="3" s="1"/>
  <c r="D41" i="5" s="1"/>
  <c r="E41" i="5" s="1"/>
  <c r="C6" i="5"/>
  <c r="C10" i="5" l="1"/>
  <c r="K24" i="8"/>
  <c r="C8" i="5"/>
  <c r="C12" i="3"/>
  <c r="D12" i="3" s="1"/>
  <c r="C50" i="3"/>
  <c r="D50" i="3" s="1"/>
  <c r="C44" i="3"/>
  <c r="D44" i="3" s="1"/>
  <c r="D42" i="3"/>
  <c r="C42" i="3"/>
  <c r="C32" i="3"/>
  <c r="C29" i="3"/>
  <c r="D29" i="3" s="1"/>
  <c r="C26" i="3"/>
  <c r="D26" i="3" s="1"/>
  <c r="K32" i="3"/>
  <c r="L32" i="3" s="1"/>
  <c r="M32" i="3" s="1"/>
  <c r="N32" i="3" s="1"/>
  <c r="K50" i="3"/>
  <c r="L50" i="3" s="1"/>
  <c r="M50" i="3" s="1"/>
  <c r="N50" i="3" s="1"/>
  <c r="K47" i="3"/>
  <c r="L47" i="3" s="1"/>
  <c r="M47" i="3" s="1"/>
  <c r="N47" i="3" s="1"/>
  <c r="K44" i="3"/>
  <c r="L44" i="3" s="1"/>
  <c r="M44" i="3" s="1"/>
  <c r="N44" i="3" s="1"/>
  <c r="L42" i="3"/>
  <c r="M42" i="3" s="1"/>
  <c r="N42" i="3" s="1"/>
  <c r="K42" i="3"/>
  <c r="K29" i="3"/>
  <c r="L29" i="3" s="1"/>
  <c r="M29" i="3" s="1"/>
  <c r="N29" i="3" s="1"/>
  <c r="K26" i="3"/>
  <c r="L26" i="3" s="1"/>
  <c r="K12" i="3"/>
  <c r="L12" i="3" s="1"/>
  <c r="M12" i="3" s="1"/>
  <c r="N12" i="3" s="1"/>
  <c r="G32" i="3" l="1"/>
  <c r="G44" i="3"/>
  <c r="G42" i="3"/>
  <c r="G50" i="3"/>
  <c r="K25" i="8"/>
  <c r="E26" i="3"/>
  <c r="E27" i="3"/>
  <c r="E44" i="3"/>
  <c r="E45" i="3"/>
  <c r="F46" i="3" s="1"/>
  <c r="J46" i="3" s="1"/>
  <c r="D52" i="5" s="1"/>
  <c r="E52" i="5" s="1"/>
  <c r="G12" i="3"/>
  <c r="M26" i="3"/>
  <c r="N26" i="3" s="1"/>
  <c r="H12" i="3"/>
  <c r="H44" i="3"/>
  <c r="I44" i="3" s="1"/>
  <c r="J44" i="3" s="1"/>
  <c r="E29" i="3"/>
  <c r="E30" i="3"/>
  <c r="E50" i="3"/>
  <c r="E51" i="3"/>
  <c r="F52" i="3" s="1"/>
  <c r="J52" i="3" s="1"/>
  <c r="G26" i="3"/>
  <c r="H50" i="3"/>
  <c r="I50" i="3" s="1"/>
  <c r="J50" i="3" s="1"/>
  <c r="D53" i="5" s="1"/>
  <c r="E53" i="5" s="1"/>
  <c r="D32" i="3"/>
  <c r="G29" i="3"/>
  <c r="H29" i="3"/>
  <c r="I29" i="3" s="1"/>
  <c r="J29" i="3" s="1"/>
  <c r="D35" i="5" s="1"/>
  <c r="E35" i="5" s="1"/>
  <c r="E42" i="3"/>
  <c r="E43" i="3"/>
  <c r="H26" i="3"/>
  <c r="I26" i="3" s="1"/>
  <c r="J26" i="3" s="1"/>
  <c r="E12" i="3"/>
  <c r="H42" i="3"/>
  <c r="I42" i="3" s="1"/>
  <c r="J42" i="3" s="1"/>
  <c r="K26" i="8" l="1"/>
  <c r="I12" i="3"/>
  <c r="F13" i="3"/>
  <c r="J13" i="3" s="1"/>
  <c r="D19" i="5" s="1"/>
  <c r="E19" i="5" s="1"/>
  <c r="F12" i="3"/>
  <c r="J12" i="3" s="1"/>
  <c r="F50" i="3"/>
  <c r="F51" i="3"/>
  <c r="J51" i="3" s="1"/>
  <c r="F42" i="3"/>
  <c r="F43" i="3"/>
  <c r="J43" i="3" s="1"/>
  <c r="D49" i="5" s="1"/>
  <c r="E49" i="5" s="1"/>
  <c r="F44" i="3"/>
  <c r="F45" i="3"/>
  <c r="J45" i="3" s="1"/>
  <c r="D51" i="5" s="1"/>
  <c r="E51" i="5" s="1"/>
  <c r="F29" i="3"/>
  <c r="F30" i="3"/>
  <c r="J30" i="3" s="1"/>
  <c r="E32" i="3"/>
  <c r="E33" i="3"/>
  <c r="H32" i="3"/>
  <c r="I32" i="3" s="1"/>
  <c r="J32" i="3" s="1"/>
  <c r="F26" i="3"/>
  <c r="F27" i="3"/>
  <c r="J27" i="3" s="1"/>
  <c r="D33" i="5" s="1"/>
  <c r="E33" i="5" s="1"/>
  <c r="K27" i="8" l="1"/>
  <c r="F32" i="3"/>
  <c r="F33" i="3"/>
  <c r="J33" i="3" s="1"/>
  <c r="D39" i="5" s="1"/>
  <c r="E39" i="5" s="1"/>
  <c r="E17" i="5" s="1"/>
  <c r="C14" i="5" s="1"/>
  <c r="C12" i="5" l="1"/>
  <c r="H10" i="9" s="1"/>
  <c r="K28" i="8"/>
  <c r="K29" i="8" l="1"/>
  <c r="K30" i="8" l="1"/>
  <c r="K31" i="8" l="1"/>
  <c r="K32" i="8" l="1"/>
  <c r="K33" i="8" l="1"/>
  <c r="K34" i="8" l="1"/>
  <c r="K10" i="8" s="1"/>
  <c r="K11" i="8" l="1"/>
  <c r="I13" i="8" s="1"/>
  <c r="H11" i="9" s="1"/>
  <c r="H12" i="9" l="1"/>
  <c r="N76" i="10" s="1"/>
  <c r="O76" i="10" s="1"/>
  <c r="P76" i="10" s="1"/>
  <c r="H13" i="9"/>
  <c r="D12" i="10"/>
  <c r="R28" i="31" l="1"/>
  <c r="AA28" i="31" s="1"/>
  <c r="R20" i="31"/>
  <c r="AA20" i="31" s="1"/>
  <c r="R16" i="31"/>
  <c r="AA16" i="31" s="1"/>
  <c r="R24" i="31"/>
  <c r="AA24" i="31" s="1"/>
  <c r="N31" i="10"/>
  <c r="O31" i="10" s="1"/>
  <c r="P31" i="10" s="1"/>
  <c r="N61" i="10"/>
  <c r="O61" i="10" s="1"/>
  <c r="P61" i="10" s="1"/>
  <c r="D13" i="10"/>
  <c r="N23" i="10"/>
  <c r="O23" i="10" s="1"/>
  <c r="P23" i="10" s="1"/>
  <c r="N22" i="10"/>
  <c r="O22" i="10" s="1"/>
  <c r="P22" i="10" s="1"/>
  <c r="N42" i="10"/>
  <c r="O42" i="10" s="1"/>
  <c r="P42" i="10" s="1"/>
  <c r="N24" i="10"/>
  <c r="O24" i="10" s="1"/>
  <c r="P24" i="10" s="1"/>
  <c r="N41" i="10"/>
  <c r="O41" i="10" s="1"/>
  <c r="P41" i="10" s="1"/>
  <c r="N30" i="10"/>
  <c r="O30" i="10" s="1"/>
  <c r="P30" i="10" s="1"/>
  <c r="N26" i="10"/>
  <c r="O26" i="10" s="1"/>
  <c r="P26" i="10" s="1"/>
  <c r="N27" i="10"/>
  <c r="O27" i="10" s="1"/>
  <c r="P27" i="10" s="1"/>
  <c r="N28" i="10"/>
  <c r="O28" i="10" s="1"/>
  <c r="P28" i="10" s="1"/>
  <c r="N29" i="10"/>
  <c r="O29" i="10" s="1"/>
  <c r="P29" i="10" s="1"/>
  <c r="N25" i="10"/>
  <c r="O25" i="10" s="1"/>
  <c r="P25" i="10" s="1"/>
  <c r="N60" i="10"/>
  <c r="O60" i="10" s="1"/>
  <c r="P60" i="10" s="1"/>
  <c r="N48" i="10"/>
  <c r="O48" i="10" s="1"/>
  <c r="P48" i="10" s="1"/>
  <c r="N54" i="10"/>
  <c r="O54" i="10" s="1"/>
  <c r="P54" i="10" s="1"/>
  <c r="N44" i="10"/>
  <c r="O44" i="10" s="1"/>
  <c r="P44" i="10" s="1"/>
  <c r="N59" i="10"/>
  <c r="O59" i="10" s="1"/>
  <c r="P59" i="10" s="1"/>
  <c r="N47" i="10"/>
  <c r="O47" i="10" s="1"/>
  <c r="P47" i="10" s="1"/>
  <c r="N46" i="10"/>
  <c r="O46" i="10" s="1"/>
  <c r="P46" i="10" s="1"/>
  <c r="N53" i="10"/>
  <c r="O53" i="10" s="1"/>
  <c r="P53" i="10" s="1"/>
  <c r="N45" i="10"/>
  <c r="O45" i="10" s="1"/>
  <c r="P45" i="10" s="1"/>
  <c r="N52" i="10"/>
  <c r="O52" i="10" s="1"/>
  <c r="P52" i="10" s="1"/>
  <c r="N79" i="10"/>
  <c r="O79" i="10" s="1"/>
  <c r="P79" i="10" s="1"/>
  <c r="N51" i="10"/>
  <c r="O51" i="10" s="1"/>
  <c r="P51" i="10" s="1"/>
  <c r="N43" i="10"/>
  <c r="O43" i="10" s="1"/>
  <c r="P43" i="10" s="1"/>
  <c r="N50" i="10"/>
  <c r="O50" i="10" s="1"/>
  <c r="P50" i="10" s="1"/>
  <c r="N80" i="10"/>
  <c r="O80" i="10" s="1"/>
  <c r="P80" i="10" s="1"/>
  <c r="N49" i="10"/>
  <c r="O49" i="10" s="1"/>
  <c r="P49" i="10" s="1"/>
  <c r="N74" i="10"/>
  <c r="O74" i="10" s="1"/>
  <c r="P74" i="10" s="1"/>
  <c r="N67" i="10"/>
  <c r="O67" i="10" s="1"/>
  <c r="P67" i="10" s="1"/>
  <c r="N75" i="10"/>
  <c r="O75" i="10" s="1"/>
  <c r="P75" i="10" s="1"/>
  <c r="N68" i="10"/>
  <c r="O68" i="10" s="1"/>
  <c r="P68" i="10" s="1"/>
  <c r="N69" i="10"/>
  <c r="O69" i="10" s="1"/>
  <c r="P69" i="10" s="1"/>
  <c r="N73" i="10"/>
  <c r="O73" i="10" s="1"/>
  <c r="P73" i="10" s="1"/>
  <c r="N64" i="10"/>
  <c r="O64" i="10" s="1"/>
  <c r="P64" i="10" s="1"/>
  <c r="N70" i="10"/>
  <c r="O70" i="10" s="1"/>
  <c r="P70" i="10" s="1"/>
  <c r="N65" i="10"/>
  <c r="O65" i="10" s="1"/>
  <c r="P65" i="10" s="1"/>
  <c r="N66" i="10"/>
  <c r="O66" i="10" s="1"/>
  <c r="P66" i="10" s="1"/>
  <c r="O36" i="10" l="1"/>
  <c r="AG24" i="31"/>
  <c r="P36" i="10" s="1"/>
  <c r="AG16" i="31"/>
  <c r="P34" i="10" s="1"/>
  <c r="O34" i="10"/>
  <c r="O35" i="10"/>
  <c r="AG20" i="31"/>
  <c r="P35" i="10" s="1"/>
  <c r="O37" i="10"/>
  <c r="AG28" i="31"/>
  <c r="P37" i="10" s="1"/>
  <c r="Y72" i="27"/>
  <c r="W11" i="28" s="1"/>
  <c r="Z72" i="27"/>
  <c r="X11" i="28" s="1"/>
  <c r="AA72" i="27"/>
  <c r="Y11" i="28" s="1"/>
  <c r="Z13" i="27" l="1"/>
  <c r="T72" i="27" l="1"/>
  <c r="R11" i="28" s="1"/>
  <c r="U72" i="27"/>
  <c r="S11" i="28" s="1"/>
  <c r="S72" i="27"/>
  <c r="Q11" i="28" s="1"/>
  <c r="R72" i="27"/>
  <c r="P11" i="28" s="1"/>
  <c r="W72" i="27"/>
  <c r="U11" i="28" s="1"/>
  <c r="V72" i="27"/>
  <c r="T11" i="28" s="1"/>
  <c r="X72" i="27"/>
  <c r="V11" i="28" s="1"/>
  <c r="Y118" i="27" l="1"/>
  <c r="W16" i="28" s="1"/>
  <c r="Y19" i="27"/>
  <c r="Y90" i="27"/>
  <c r="W12" i="28" s="1"/>
  <c r="AA90" i="27"/>
  <c r="T90" i="27"/>
  <c r="R12" i="28" s="1"/>
  <c r="X90" i="27"/>
  <c r="V12" i="28" s="1"/>
  <c r="V90" i="27"/>
  <c r="T12" i="28" s="1"/>
  <c r="AA13" i="27" l="1"/>
  <c r="Y12" i="28"/>
  <c r="Y15" i="27"/>
  <c r="Y21" i="27" s="1"/>
  <c r="Y13" i="27"/>
  <c r="Y12" i="27"/>
  <c r="V13" i="27"/>
  <c r="X13" i="27"/>
  <c r="T13" i="27"/>
  <c r="R90" i="27"/>
  <c r="P12" i="28" s="1"/>
  <c r="U90" i="27"/>
  <c r="S12" i="28" s="1"/>
  <c r="S90" i="27"/>
  <c r="Q12" i="28" s="1"/>
  <c r="AA12" i="27"/>
  <c r="AA14" i="27" s="1"/>
  <c r="W90" i="27"/>
  <c r="U12" i="28" s="1"/>
  <c r="U13" i="27" l="1"/>
  <c r="Y11" i="27"/>
  <c r="Y16" i="27"/>
  <c r="Y20" i="27"/>
  <c r="S13" i="27"/>
  <c r="R12" i="27"/>
  <c r="R13" i="27"/>
  <c r="W13" i="27"/>
  <c r="AA16" i="27"/>
  <c r="AA20" i="27"/>
  <c r="AA11" i="27"/>
  <c r="Y14" i="27"/>
  <c r="Z118" i="27" l="1"/>
  <c r="X16" i="28" s="1"/>
  <c r="Z19" i="27"/>
  <c r="X118" i="27"/>
  <c r="V16" i="28" s="1"/>
  <c r="X19" i="27"/>
  <c r="W118" i="27"/>
  <c r="U16" i="28" s="1"/>
  <c r="W19" i="27"/>
  <c r="U118" i="27"/>
  <c r="S16" i="28" s="1"/>
  <c r="U19" i="27"/>
  <c r="S28" i="27"/>
  <c r="Q17" i="28" s="1"/>
  <c r="S19" i="27"/>
  <c r="R14" i="27"/>
  <c r="R20" i="27"/>
  <c r="R16" i="27"/>
  <c r="R11" i="27"/>
  <c r="AB144" i="27"/>
  <c r="AB118" i="27"/>
  <c r="O19" i="27"/>
  <c r="O118" i="27"/>
  <c r="O12" i="27" l="1"/>
  <c r="M16" i="28"/>
  <c r="Z12" i="27"/>
  <c r="Z15" i="27"/>
  <c r="X15" i="27"/>
  <c r="X12" i="27"/>
  <c r="X20" i="27" s="1"/>
  <c r="W15" i="27"/>
  <c r="W12" i="27"/>
  <c r="V118" i="27"/>
  <c r="T16" i="28" s="1"/>
  <c r="V19" i="27"/>
  <c r="U15" i="27"/>
  <c r="U12" i="27"/>
  <c r="U20" i="27" s="1"/>
  <c r="T28" i="27"/>
  <c r="R17" i="28" s="1"/>
  <c r="T19" i="27"/>
  <c r="S15" i="27"/>
  <c r="S12" i="27"/>
  <c r="S20" i="27" s="1"/>
  <c r="O15" i="27"/>
  <c r="O16" i="27" s="1"/>
  <c r="O14" i="27"/>
  <c r="O11" i="27"/>
  <c r="N118" i="27" s="1"/>
  <c r="L16" i="28" s="1"/>
  <c r="O20" i="27"/>
  <c r="Z14" i="27" l="1"/>
  <c r="Z11" i="27"/>
  <c r="Z20" i="27"/>
  <c r="Z16" i="27"/>
  <c r="Z21" i="27"/>
  <c r="X16" i="27"/>
  <c r="X11" i="27"/>
  <c r="X14" i="27"/>
  <c r="X21" i="27"/>
  <c r="W16" i="27"/>
  <c r="W21" i="27"/>
  <c r="W11" i="27"/>
  <c r="W14" i="27"/>
  <c r="W20" i="27"/>
  <c r="V15" i="27"/>
  <c r="V12" i="27"/>
  <c r="V20" i="27" s="1"/>
  <c r="U16" i="27"/>
  <c r="U11" i="27"/>
  <c r="U14" i="27"/>
  <c r="U21" i="27"/>
  <c r="T15" i="27"/>
  <c r="T12" i="27"/>
  <c r="T20" i="27" s="1"/>
  <c r="S16" i="27"/>
  <c r="S14" i="27"/>
  <c r="S11" i="27"/>
  <c r="S21" i="27"/>
  <c r="O21" i="27"/>
  <c r="N15" i="27"/>
  <c r="N12" i="27"/>
  <c r="V16" i="27" l="1"/>
  <c r="V14" i="27"/>
  <c r="V11" i="27"/>
  <c r="V21" i="27"/>
  <c r="T16" i="27"/>
  <c r="T14" i="27"/>
  <c r="T11" i="27"/>
  <c r="T21" i="27"/>
  <c r="N9" i="27"/>
  <c r="N14" i="27"/>
  <c r="N21" i="27"/>
  <c r="N16" i="27"/>
  <c r="N10" i="29"/>
  <c r="N15" i="29" s="1"/>
  <c r="O16" i="29"/>
  <c r="P16" i="29" s="1"/>
  <c r="N17" i="29" l="1"/>
  <c r="N19" i="29"/>
  <c r="Q16" i="29"/>
  <c r="P10" i="29"/>
  <c r="P17" i="29" s="1"/>
  <c r="O10" i="29"/>
  <c r="N21" i="29"/>
  <c r="N13" i="29"/>
  <c r="N7" i="29"/>
  <c r="N9" i="29" s="1"/>
  <c r="N11" i="29" l="1"/>
  <c r="O21" i="29"/>
  <c r="O19" i="29"/>
  <c r="O7" i="29"/>
  <c r="O9" i="29" s="1"/>
  <c r="O13" i="29"/>
  <c r="O15" i="29"/>
  <c r="O17" i="29"/>
  <c r="P13" i="29"/>
  <c r="P21" i="29"/>
  <c r="P19" i="29"/>
  <c r="P7" i="29"/>
  <c r="P9" i="29" s="1"/>
  <c r="P15" i="29"/>
  <c r="Q10" i="29"/>
  <c r="Q17" i="29" s="1"/>
  <c r="R16" i="29"/>
  <c r="O11" i="29" l="1"/>
  <c r="S16" i="29"/>
  <c r="R10" i="29"/>
  <c r="Q15" i="29"/>
  <c r="Q19" i="29"/>
  <c r="Q13" i="29"/>
  <c r="Q21" i="29"/>
  <c r="Q7" i="29"/>
  <c r="Q9" i="29" s="1"/>
  <c r="P11" i="29"/>
  <c r="Q11" i="29" l="1"/>
  <c r="R19" i="29"/>
  <c r="R13" i="29"/>
  <c r="R21" i="29"/>
  <c r="R15" i="29"/>
  <c r="R7" i="29"/>
  <c r="R9" i="29" s="1"/>
  <c r="R17" i="29"/>
  <c r="S10" i="29"/>
  <c r="T16" i="29"/>
  <c r="U16" i="29" l="1"/>
  <c r="T10" i="29"/>
  <c r="T17" i="29" s="1"/>
  <c r="S19" i="29"/>
  <c r="S7" i="29"/>
  <c r="S9" i="29" s="1"/>
  <c r="S13" i="29"/>
  <c r="S21" i="29"/>
  <c r="S15" i="29"/>
  <c r="R11" i="29"/>
  <c r="S17" i="29"/>
  <c r="S11" i="29" l="1"/>
  <c r="T19" i="29"/>
  <c r="T7" i="29"/>
  <c r="T9" i="29" s="1"/>
  <c r="T15" i="29"/>
  <c r="T13" i="29"/>
  <c r="T21" i="29"/>
  <c r="V16" i="29"/>
  <c r="U10" i="29"/>
  <c r="U17" i="29" s="1"/>
  <c r="T11" i="29" l="1"/>
  <c r="V10" i="29"/>
  <c r="V17" i="29" s="1"/>
  <c r="W16" i="29"/>
  <c r="U15" i="29"/>
  <c r="U19" i="29"/>
  <c r="U13" i="29"/>
  <c r="U21" i="29"/>
  <c r="U7" i="29"/>
  <c r="U9" i="29" s="1"/>
  <c r="X16" i="29" l="1"/>
  <c r="W10" i="29"/>
  <c r="U11" i="29"/>
  <c r="V19" i="29"/>
  <c r="V21" i="29"/>
  <c r="V15" i="29"/>
  <c r="V13" i="29"/>
  <c r="V7" i="29"/>
  <c r="V9" i="29" s="1"/>
  <c r="V11" i="29" l="1"/>
  <c r="X10" i="29"/>
  <c r="X17" i="29" s="1"/>
  <c r="Y16" i="29"/>
  <c r="W13" i="29"/>
  <c r="W7" i="29"/>
  <c r="W9" i="29" s="1"/>
  <c r="W15" i="29"/>
  <c r="W19" i="29"/>
  <c r="W21" i="29"/>
  <c r="W17" i="29"/>
  <c r="Y10" i="29" l="1"/>
  <c r="Y17" i="29" s="1"/>
  <c r="Z16" i="29"/>
  <c r="W11" i="29"/>
  <c r="X13" i="29"/>
  <c r="X15" i="29"/>
  <c r="X21" i="29"/>
  <c r="X7" i="29"/>
  <c r="X9" i="29" s="1"/>
  <c r="X19" i="29"/>
  <c r="X11" i="29" l="1"/>
  <c r="Z10" i="29"/>
  <c r="AA16" i="29"/>
  <c r="Y21" i="29"/>
  <c r="Y19" i="29"/>
  <c r="Y13" i="29"/>
  <c r="Y15" i="29"/>
  <c r="Y7" i="29"/>
  <c r="Y9" i="29" s="1"/>
  <c r="Y11" i="29" l="1"/>
  <c r="AA10" i="29"/>
  <c r="AA17" i="29" s="1"/>
  <c r="Z21" i="29"/>
  <c r="Z13" i="29"/>
  <c r="Z19" i="29"/>
  <c r="Z7" i="29"/>
  <c r="Z9" i="29" s="1"/>
  <c r="Z15" i="29"/>
  <c r="Z17" i="29"/>
  <c r="Z11" i="29" l="1"/>
  <c r="AA21" i="29"/>
  <c r="AA15" i="29"/>
  <c r="AA7" i="29"/>
  <c r="AC7" i="29" s="1"/>
  <c r="AA13" i="29"/>
  <c r="AA19" i="29"/>
  <c r="AA9" i="29" l="1"/>
  <c r="AA11" i="29"/>
</calcChain>
</file>

<file path=xl/sharedStrings.xml><?xml version="1.0" encoding="utf-8"?>
<sst xmlns="http://schemas.openxmlformats.org/spreadsheetml/2006/main" count="4471" uniqueCount="554">
  <si>
    <t>Hydropower</t>
  </si>
  <si>
    <t>Zongo</t>
  </si>
  <si>
    <t>Santa Isabel</t>
  </si>
  <si>
    <t>Corani</t>
  </si>
  <si>
    <t>Kanata</t>
  </si>
  <si>
    <t>Quehata</t>
  </si>
  <si>
    <t>San Jacinto</t>
  </si>
  <si>
    <t>Misicuni</t>
  </si>
  <si>
    <t>Wind</t>
  </si>
  <si>
    <t>Qollpana</t>
  </si>
  <si>
    <t>Solar PV</t>
  </si>
  <si>
    <t>Yunchará</t>
  </si>
  <si>
    <t>Biomass</t>
  </si>
  <si>
    <t>Guabirá</t>
  </si>
  <si>
    <t>San Buenaventura</t>
  </si>
  <si>
    <t>Natural gas</t>
  </si>
  <si>
    <t>Guaracachi</t>
  </si>
  <si>
    <t>Santa Cruz</t>
  </si>
  <si>
    <t>Carrasco</t>
  </si>
  <si>
    <t>Aranjuez</t>
  </si>
  <si>
    <t>Bulo Bulo</t>
  </si>
  <si>
    <t>Karachipampa</t>
  </si>
  <si>
    <t>Kenko</t>
  </si>
  <si>
    <t>Entre Ríos</t>
  </si>
  <si>
    <t>Del Sur</t>
  </si>
  <si>
    <t>Warnes</t>
  </si>
  <si>
    <t>Angostura</t>
  </si>
  <si>
    <t>Botijlaca</t>
  </si>
  <si>
    <t>Cahua</t>
  </si>
  <si>
    <t>Chojlla</t>
  </si>
  <si>
    <t>Choquetanga</t>
  </si>
  <si>
    <t>Chururaqui</t>
  </si>
  <si>
    <t>Carabuco</t>
  </si>
  <si>
    <t>Cuticucho</t>
  </si>
  <si>
    <t>Harca</t>
  </si>
  <si>
    <t>Huaji</t>
  </si>
  <si>
    <t>Kilpani</t>
  </si>
  <si>
    <t>Landara</t>
  </si>
  <si>
    <t>Miguilla</t>
  </si>
  <si>
    <t>Punutuma</t>
  </si>
  <si>
    <t>Sainani</t>
  </si>
  <si>
    <t>San José</t>
  </si>
  <si>
    <t>Santa Rosa</t>
  </si>
  <si>
    <t>Tiquimani</t>
  </si>
  <si>
    <t>Uyuni</t>
  </si>
  <si>
    <t>Valle Hermoso (VHE)</t>
  </si>
  <si>
    <t>Yanacachi</t>
  </si>
  <si>
    <t>Cobija</t>
  </si>
  <si>
    <t>San Julián</t>
  </si>
  <si>
    <t>El Dorado</t>
  </si>
  <si>
    <t>Geothermal</t>
  </si>
  <si>
    <t>Laguna Colorada</t>
  </si>
  <si>
    <t>Warnes II</t>
  </si>
  <si>
    <t>La Ventolera</t>
  </si>
  <si>
    <t>Source</t>
  </si>
  <si>
    <t>[1]</t>
  </si>
  <si>
    <t>[3]</t>
  </si>
  <si>
    <t>[2]</t>
  </si>
  <si>
    <t>Warnes I</t>
  </si>
  <si>
    <t>[4]</t>
  </si>
  <si>
    <t>San José 2</t>
  </si>
  <si>
    <t>Sehuencas</t>
  </si>
  <si>
    <t>Juntas</t>
  </si>
  <si>
    <t>Umapalca</t>
  </si>
  <si>
    <t>Palillada</t>
  </si>
  <si>
    <t>Comments</t>
  </si>
  <si>
    <t>Renewable energy [MW]</t>
  </si>
  <si>
    <t>[6]</t>
  </si>
  <si>
    <t>[5]</t>
  </si>
  <si>
    <t>Worksheet A.6 Adiciones y A.7 Retiros PMP de generación. Received October 29, 2018</t>
  </si>
  <si>
    <t>Worksheet A.2 Proyección Demanda SIN 2018 -2030. Received October 29, 2018</t>
  </si>
  <si>
    <t>Worksheet A.11 Pérdidas Transmisión. Received October 29, 2018</t>
  </si>
  <si>
    <t>[7]</t>
  </si>
  <si>
    <t>Worksheet B.1 Plantas Existentes SIN. Received October 29, 2018</t>
  </si>
  <si>
    <t>Worksheet A.10 Adiciones Generación ERNC. Received October 29, 2018</t>
  </si>
  <si>
    <t>Document Resumen Proyectos EA para medio ambiente. Received October 29,2018</t>
  </si>
  <si>
    <t>Renewable energy [%]</t>
  </si>
  <si>
    <t>Fossil fuels [%]</t>
  </si>
  <si>
    <t>GCH1</t>
  </si>
  <si>
    <t>GCH2</t>
  </si>
  <si>
    <t>GCH4</t>
  </si>
  <si>
    <t>GCH6</t>
  </si>
  <si>
    <t>GCH9</t>
  </si>
  <si>
    <t>GCH10</t>
  </si>
  <si>
    <t>GCH11</t>
  </si>
  <si>
    <t>SCZ1</t>
  </si>
  <si>
    <t>SCZ2</t>
  </si>
  <si>
    <t>ARJ1</t>
  </si>
  <si>
    <t>ARJ2</t>
  </si>
  <si>
    <t>ARJ3</t>
  </si>
  <si>
    <t>ARJ5</t>
  </si>
  <si>
    <t>ARJ6</t>
  </si>
  <si>
    <t>ARJ8</t>
  </si>
  <si>
    <t>ARJ9</t>
  </si>
  <si>
    <t>ARJ10</t>
  </si>
  <si>
    <t>ARJ11</t>
  </si>
  <si>
    <t>ARJ12</t>
  </si>
  <si>
    <t>ARJ13</t>
  </si>
  <si>
    <t>ARJ14</t>
  </si>
  <si>
    <t>ARJ15</t>
  </si>
  <si>
    <t>KAR1</t>
  </si>
  <si>
    <t>VHE1</t>
  </si>
  <si>
    <t>VHE2</t>
  </si>
  <si>
    <t>VHE3</t>
  </si>
  <si>
    <t>VHE4</t>
  </si>
  <si>
    <t>CAR1</t>
  </si>
  <si>
    <t>CAR2</t>
  </si>
  <si>
    <t>ERI01</t>
  </si>
  <si>
    <t>ERI02</t>
  </si>
  <si>
    <t>ERI03</t>
  </si>
  <si>
    <t>ERI04</t>
  </si>
  <si>
    <t>KEN1</t>
  </si>
  <si>
    <t>KEN2</t>
  </si>
  <si>
    <t>BUL1</t>
  </si>
  <si>
    <t>BUL2</t>
  </si>
  <si>
    <t>Conversion factor [BTU - kWh]</t>
  </si>
  <si>
    <t>Conversion factor [GJ - MWh]</t>
  </si>
  <si>
    <r>
      <t xml:space="preserve">Plant        </t>
    </r>
    <r>
      <rPr>
        <sz val="11"/>
        <color theme="1"/>
        <rFont val="Calibri"/>
        <family val="2"/>
        <scheme val="minor"/>
      </rPr>
      <t xml:space="preserve"> 
     Unit</t>
    </r>
  </si>
  <si>
    <t>GCH7</t>
  </si>
  <si>
    <t>GCH8</t>
  </si>
  <si>
    <r>
      <t>Emission factor natural gas [tCO</t>
    </r>
    <r>
      <rPr>
        <b/>
        <vertAlign val="subscript"/>
        <sz val="11"/>
        <color theme="1"/>
        <rFont val="Calibri"/>
        <family val="2"/>
        <scheme val="minor"/>
      </rPr>
      <t>2</t>
    </r>
    <r>
      <rPr>
        <b/>
        <sz val="11"/>
        <color theme="1"/>
        <rFont val="Calibri"/>
        <family val="2"/>
        <scheme val="minor"/>
      </rPr>
      <t>/GJ]</t>
    </r>
  </si>
  <si>
    <t>COR1234</t>
  </si>
  <si>
    <t>SIS12345</t>
  </si>
  <si>
    <t>ZON1</t>
  </si>
  <si>
    <t>TIQ1</t>
  </si>
  <si>
    <t>BOT1</t>
  </si>
  <si>
    <t>BOT2</t>
  </si>
  <si>
    <t>BOT3</t>
  </si>
  <si>
    <t>CUT1</t>
  </si>
  <si>
    <t>CUT2</t>
  </si>
  <si>
    <t>CUT3</t>
  </si>
  <si>
    <t>CUT4</t>
  </si>
  <si>
    <t>CUT5</t>
  </si>
  <si>
    <t>SRO1</t>
  </si>
  <si>
    <t>SRO2</t>
  </si>
  <si>
    <t>SAI1</t>
  </si>
  <si>
    <t>CHU1</t>
  </si>
  <si>
    <t>CHU2</t>
  </si>
  <si>
    <t>HAR1</t>
  </si>
  <si>
    <t>HAR2</t>
  </si>
  <si>
    <t>MIG1</t>
  </si>
  <si>
    <t>MIG2</t>
  </si>
  <si>
    <t>ANG1</t>
  </si>
  <si>
    <t>ANG2</t>
  </si>
  <si>
    <t>ANG3</t>
  </si>
  <si>
    <t>CHO1</t>
  </si>
  <si>
    <t>CHO2</t>
  </si>
  <si>
    <t>CHO3</t>
  </si>
  <si>
    <t>CRB</t>
  </si>
  <si>
    <t>CHJ1y2</t>
  </si>
  <si>
    <t xml:space="preserve">YAN </t>
  </si>
  <si>
    <t>KAN1</t>
  </si>
  <si>
    <t>KIL123</t>
  </si>
  <si>
    <t>LAN123</t>
  </si>
  <si>
    <t>PUN1</t>
  </si>
  <si>
    <t xml:space="preserve">QUE </t>
  </si>
  <si>
    <t>CAH1</t>
  </si>
  <si>
    <t>CAH2</t>
  </si>
  <si>
    <t>HUA1</t>
  </si>
  <si>
    <t>HUA2</t>
  </si>
  <si>
    <t>Total generation</t>
  </si>
  <si>
    <t>Renewable energy [MWh]</t>
  </si>
  <si>
    <t>Fossil fuels [MWh]</t>
  </si>
  <si>
    <r>
      <t xml:space="preserve">Plant         
   </t>
    </r>
    <r>
      <rPr>
        <sz val="11"/>
        <color theme="1"/>
        <rFont val="Calibri"/>
        <family val="2"/>
        <scheme val="minor"/>
      </rPr>
      <t xml:space="preserve">  Unit</t>
    </r>
  </si>
  <si>
    <r>
      <t xml:space="preserve">Plant         
</t>
    </r>
    <r>
      <rPr>
        <sz val="11"/>
        <color theme="1"/>
        <rFont val="Calibri"/>
        <family val="2"/>
        <scheme val="minor"/>
      </rPr>
      <t xml:space="preserve">     Unit</t>
    </r>
  </si>
  <si>
    <r>
      <t xml:space="preserve">Generation </t>
    </r>
    <r>
      <rPr>
        <sz val="11"/>
        <color theme="1"/>
        <rFont val="Calibri"/>
        <family val="2"/>
        <scheme val="minor"/>
      </rPr>
      <t>[MWh/y]</t>
    </r>
  </si>
  <si>
    <r>
      <t>EF</t>
    </r>
    <r>
      <rPr>
        <vertAlign val="subscript"/>
        <sz val="11"/>
        <color theme="1"/>
        <rFont val="Calibri"/>
        <family val="2"/>
        <scheme val="minor"/>
      </rPr>
      <t>grid,OM-ave,2008</t>
    </r>
    <r>
      <rPr>
        <sz val="11"/>
        <color theme="1"/>
        <rFont val="Calibri"/>
        <family val="2"/>
        <scheme val="minor"/>
      </rPr>
      <t xml:space="preserve"> [tCO</t>
    </r>
    <r>
      <rPr>
        <vertAlign val="subscript"/>
        <sz val="11"/>
        <color theme="1"/>
        <rFont val="Calibri"/>
        <family val="2"/>
        <scheme val="minor"/>
      </rPr>
      <t>2</t>
    </r>
    <r>
      <rPr>
        <sz val="11"/>
        <color theme="1"/>
        <rFont val="Calibri"/>
        <family val="2"/>
        <scheme val="minor"/>
      </rPr>
      <t>/MWh]</t>
    </r>
  </si>
  <si>
    <r>
      <t>EF</t>
    </r>
    <r>
      <rPr>
        <vertAlign val="subscript"/>
        <sz val="11"/>
        <color theme="1"/>
        <rFont val="Calibri"/>
        <family val="2"/>
        <scheme val="minor"/>
      </rPr>
      <t>grid,OM-ave,2009</t>
    </r>
    <r>
      <rPr>
        <sz val="11"/>
        <color theme="1"/>
        <rFont val="Calibri"/>
        <family val="2"/>
        <scheme val="minor"/>
      </rPr>
      <t xml:space="preserve"> [tCO</t>
    </r>
    <r>
      <rPr>
        <vertAlign val="subscript"/>
        <sz val="11"/>
        <color theme="1"/>
        <rFont val="Calibri"/>
        <family val="2"/>
        <scheme val="minor"/>
      </rPr>
      <t>2</t>
    </r>
    <r>
      <rPr>
        <sz val="11"/>
        <color theme="1"/>
        <rFont val="Calibri"/>
        <family val="2"/>
        <scheme val="minor"/>
      </rPr>
      <t>/MWh]</t>
    </r>
  </si>
  <si>
    <r>
      <t xml:space="preserve">Capacity </t>
    </r>
    <r>
      <rPr>
        <sz val="11"/>
        <color theme="1"/>
        <rFont val="Calibri"/>
        <family val="2"/>
        <scheme val="minor"/>
      </rPr>
      <t>[MW]</t>
    </r>
  </si>
  <si>
    <r>
      <t xml:space="preserve">Heat rate </t>
    </r>
    <r>
      <rPr>
        <sz val="11"/>
        <color theme="1"/>
        <rFont val="Calibri"/>
        <family val="2"/>
        <scheme val="minor"/>
      </rPr>
      <t>[BTU/kWh]</t>
    </r>
  </si>
  <si>
    <r>
      <t xml:space="preserve">Efficiency
</t>
    </r>
    <r>
      <rPr>
        <sz val="11"/>
        <color theme="1"/>
        <rFont val="Calibri"/>
        <family val="2"/>
        <scheme val="minor"/>
      </rPr>
      <t>[%]</t>
    </r>
  </si>
  <si>
    <r>
      <t>EF</t>
    </r>
    <r>
      <rPr>
        <vertAlign val="subscript"/>
        <sz val="11"/>
        <color theme="1"/>
        <rFont val="Calibri"/>
        <family val="2"/>
        <scheme val="minor"/>
      </rPr>
      <t>grid,OM-ave,2010</t>
    </r>
    <r>
      <rPr>
        <sz val="11"/>
        <color theme="1"/>
        <rFont val="Calibri"/>
        <family val="2"/>
        <scheme val="minor"/>
      </rPr>
      <t xml:space="preserve"> [tCO</t>
    </r>
    <r>
      <rPr>
        <vertAlign val="subscript"/>
        <sz val="11"/>
        <color theme="1"/>
        <rFont val="Calibri"/>
        <family val="2"/>
        <scheme val="minor"/>
      </rPr>
      <t>2</t>
    </r>
    <r>
      <rPr>
        <sz val="11"/>
        <color theme="1"/>
        <rFont val="Calibri"/>
        <family val="2"/>
        <scheme val="minor"/>
      </rPr>
      <t>/MWh]</t>
    </r>
  </si>
  <si>
    <t>Commissioning</t>
  </si>
  <si>
    <t>CHJ</t>
  </si>
  <si>
    <t xml:space="preserve">KIL1 </t>
  </si>
  <si>
    <t>KIL2</t>
  </si>
  <si>
    <t>KIL3</t>
  </si>
  <si>
    <t xml:space="preserve">LAN1 </t>
  </si>
  <si>
    <t>LAN2</t>
  </si>
  <si>
    <t>LAN3</t>
  </si>
  <si>
    <t>COR1</t>
  </si>
  <si>
    <t>COR2</t>
  </si>
  <si>
    <t>COR3</t>
  </si>
  <si>
    <t>COR4</t>
  </si>
  <si>
    <t>SIS1</t>
  </si>
  <si>
    <t>SIS2</t>
  </si>
  <si>
    <t>SIS3</t>
  </si>
  <si>
    <t>SIS4</t>
  </si>
  <si>
    <t>SIS5</t>
  </si>
  <si>
    <t>QUE1</t>
  </si>
  <si>
    <t>QUE2</t>
  </si>
  <si>
    <t>GBE1</t>
  </si>
  <si>
    <t xml:space="preserve">No. </t>
  </si>
  <si>
    <t xml:space="preserve"> Unit</t>
  </si>
  <si>
    <t>CDM project activity</t>
  </si>
  <si>
    <t>Yes</t>
  </si>
  <si>
    <t>Total generation [MWh]</t>
  </si>
  <si>
    <r>
      <t xml:space="preserve">Generation </t>
    </r>
    <r>
      <rPr>
        <sz val="11"/>
        <color theme="1"/>
        <rFont val="Calibri"/>
        <family val="2"/>
        <scheme val="minor"/>
      </rPr>
      <t>[MWh]</t>
    </r>
  </si>
  <si>
    <r>
      <t xml:space="preserve">Cumulative generation
</t>
    </r>
    <r>
      <rPr>
        <sz val="11"/>
        <color theme="1"/>
        <rFont val="Calibri"/>
        <family val="2"/>
        <scheme val="minor"/>
      </rPr>
      <t>[MWh]</t>
    </r>
  </si>
  <si>
    <t>Total generation excl. CDM project activities  [MWh]</t>
  </si>
  <si>
    <r>
      <t>AEG</t>
    </r>
    <r>
      <rPr>
        <vertAlign val="subscript"/>
        <sz val="11"/>
        <color theme="1"/>
        <rFont val="Calibri"/>
        <family val="2"/>
        <scheme val="minor"/>
      </rPr>
      <t>total</t>
    </r>
  </si>
  <si>
    <r>
      <t>AEG</t>
    </r>
    <r>
      <rPr>
        <vertAlign val="subscript"/>
        <sz val="11"/>
        <color theme="1"/>
        <rFont val="Calibri"/>
        <family val="2"/>
        <scheme val="minor"/>
      </rPr>
      <t>set-5-units</t>
    </r>
  </si>
  <si>
    <t>Generation 5 most recent plants [MWh]</t>
  </si>
  <si>
    <r>
      <t>AEG</t>
    </r>
    <r>
      <rPr>
        <b/>
        <vertAlign val="subscript"/>
        <sz val="11"/>
        <color theme="1"/>
        <rFont val="Calibri"/>
        <family val="2"/>
        <scheme val="minor"/>
      </rPr>
      <t>set-&gt;20 per cent</t>
    </r>
  </si>
  <si>
    <t>20% of total generation excl. CDM project activities [MWh]</t>
  </si>
  <si>
    <r>
      <t>EF</t>
    </r>
    <r>
      <rPr>
        <vertAlign val="subscript"/>
        <sz val="11"/>
        <color theme="1"/>
        <rFont val="Calibri"/>
        <family val="2"/>
        <scheme val="minor"/>
      </rPr>
      <t>grid,BM,2010</t>
    </r>
    <r>
      <rPr>
        <sz val="11"/>
        <color theme="1"/>
        <rFont val="Calibri"/>
        <family val="2"/>
        <scheme val="minor"/>
      </rPr>
      <t xml:space="preserve"> [tCO</t>
    </r>
    <r>
      <rPr>
        <vertAlign val="subscript"/>
        <sz val="11"/>
        <color theme="1"/>
        <rFont val="Calibri"/>
        <family val="2"/>
        <scheme val="minor"/>
      </rPr>
      <t>2</t>
    </r>
    <r>
      <rPr>
        <sz val="11"/>
        <color theme="1"/>
        <rFont val="Calibri"/>
        <family val="2"/>
        <scheme val="minor"/>
      </rPr>
      <t>/MWh]</t>
    </r>
  </si>
  <si>
    <t>Generation by set of most recent plants generating at least 20% [MWh]</t>
  </si>
  <si>
    <t>GHG emissions by set of most recent plants generating at least 20% [tCO2]</t>
  </si>
  <si>
    <r>
      <t xml:space="preserve">GHG emissions </t>
    </r>
    <r>
      <rPr>
        <sz val="11"/>
        <color theme="1"/>
        <rFont val="Calibri"/>
        <family val="2"/>
        <scheme val="minor"/>
      </rPr>
      <t>[tCO</t>
    </r>
    <r>
      <rPr>
        <vertAlign val="subscript"/>
        <sz val="11"/>
        <color theme="1"/>
        <rFont val="Calibri"/>
        <family val="2"/>
        <scheme val="minor"/>
      </rPr>
      <t>2</t>
    </r>
    <r>
      <rPr>
        <sz val="11"/>
        <color theme="1"/>
        <rFont val="Calibri"/>
        <family val="2"/>
        <scheme val="minor"/>
      </rPr>
      <t>]</t>
    </r>
  </si>
  <si>
    <r>
      <t xml:space="preserve">Emission factor
</t>
    </r>
    <r>
      <rPr>
        <sz val="11"/>
        <color theme="1"/>
        <rFont val="Calibri"/>
        <family val="2"/>
        <scheme val="minor"/>
      </rPr>
      <t>[tCO</t>
    </r>
    <r>
      <rPr>
        <vertAlign val="subscript"/>
        <sz val="11"/>
        <color theme="1"/>
        <rFont val="Calibri"/>
        <family val="2"/>
        <scheme val="minor"/>
      </rPr>
      <t>2</t>
    </r>
    <r>
      <rPr>
        <sz val="11"/>
        <color theme="1"/>
        <rFont val="Calibri"/>
        <family val="2"/>
        <scheme val="minor"/>
      </rPr>
      <t>/MWh]</t>
    </r>
  </si>
  <si>
    <r>
      <t>EF</t>
    </r>
    <r>
      <rPr>
        <vertAlign val="subscript"/>
        <sz val="11"/>
        <color theme="1"/>
        <rFont val="Calibri"/>
        <family val="2"/>
        <scheme val="minor"/>
      </rPr>
      <t>grid,OM-ave,y</t>
    </r>
    <r>
      <rPr>
        <sz val="11"/>
        <color theme="1"/>
        <rFont val="Calibri"/>
        <family val="2"/>
        <scheme val="minor"/>
      </rPr>
      <t xml:space="preserve"> </t>
    </r>
  </si>
  <si>
    <r>
      <t>[tCO</t>
    </r>
    <r>
      <rPr>
        <vertAlign val="subscript"/>
        <sz val="11"/>
        <color theme="1"/>
        <rFont val="Calibri"/>
        <family val="2"/>
        <scheme val="minor"/>
      </rPr>
      <t>2</t>
    </r>
    <r>
      <rPr>
        <sz val="11"/>
        <color theme="1"/>
        <rFont val="Calibri"/>
        <family val="2"/>
        <scheme val="minor"/>
      </rPr>
      <t>/MWh]</t>
    </r>
  </si>
  <si>
    <r>
      <t>EF</t>
    </r>
    <r>
      <rPr>
        <vertAlign val="subscript"/>
        <sz val="11"/>
        <color theme="1"/>
        <rFont val="Calibri"/>
        <family val="2"/>
        <scheme val="minor"/>
      </rPr>
      <t>grid,OM,y</t>
    </r>
    <r>
      <rPr>
        <sz val="11"/>
        <color theme="1"/>
        <rFont val="Calibri"/>
        <family val="2"/>
        <scheme val="minor"/>
      </rPr>
      <t xml:space="preserve"> </t>
    </r>
  </si>
  <si>
    <r>
      <t>EG</t>
    </r>
    <r>
      <rPr>
        <vertAlign val="subscript"/>
        <sz val="11"/>
        <color theme="1"/>
        <rFont val="Calibri"/>
        <family val="2"/>
        <scheme val="minor"/>
      </rPr>
      <t>y</t>
    </r>
  </si>
  <si>
    <t>[MWh]</t>
  </si>
  <si>
    <t>Electricity generation in year y</t>
  </si>
  <si>
    <r>
      <t>EF</t>
    </r>
    <r>
      <rPr>
        <vertAlign val="subscript"/>
        <sz val="11"/>
        <color theme="1"/>
        <rFont val="Calibri"/>
        <family val="2"/>
        <scheme val="minor"/>
      </rPr>
      <t>grid,BM,y</t>
    </r>
  </si>
  <si>
    <t>Average operating margin emissions factor in year y</t>
  </si>
  <si>
    <t>Operating margin emissions factor in year y</t>
  </si>
  <si>
    <t>Build margin emissions factor in year y</t>
  </si>
  <si>
    <t>Wind and solar</t>
  </si>
  <si>
    <r>
      <rPr>
        <i/>
        <sz val="14"/>
        <color theme="1"/>
        <rFont val="Calibri"/>
        <family val="2"/>
        <scheme val="minor"/>
      </rPr>
      <t>w</t>
    </r>
    <r>
      <rPr>
        <vertAlign val="subscript"/>
        <sz val="11"/>
        <color theme="1"/>
        <rFont val="Calibri"/>
        <family val="2"/>
        <scheme val="minor"/>
      </rPr>
      <t>OM</t>
    </r>
  </si>
  <si>
    <r>
      <rPr>
        <i/>
        <sz val="14"/>
        <color theme="1"/>
        <rFont val="Calibri"/>
        <family val="2"/>
        <scheme val="minor"/>
      </rPr>
      <t>w</t>
    </r>
    <r>
      <rPr>
        <vertAlign val="subscript"/>
        <sz val="11"/>
        <color theme="1"/>
        <rFont val="Calibri"/>
        <family val="2"/>
        <scheme val="minor"/>
      </rPr>
      <t>BM</t>
    </r>
  </si>
  <si>
    <t>Weight of operating margin</t>
  </si>
  <si>
    <t>Weight of build margin</t>
  </si>
  <si>
    <t>Other than wind and solar</t>
  </si>
  <si>
    <t>Weights for calculating the combined margin emissions factor</t>
  </si>
  <si>
    <t>Combined margin emissions factor in year y (wind and solar)</t>
  </si>
  <si>
    <t>Combined margin emissions factor in year y (other)</t>
  </si>
  <si>
    <t>Qollpana I</t>
  </si>
  <si>
    <t>Plant/Unit</t>
  </si>
  <si>
    <t>Laguna Colorada, Pilot</t>
  </si>
  <si>
    <t xml:space="preserve">Laguna Colorada </t>
  </si>
  <si>
    <t>Oruro II</t>
  </si>
  <si>
    <t>Oruro I</t>
  </si>
  <si>
    <t>CCSUR3</t>
  </si>
  <si>
    <t>CCSUR4</t>
  </si>
  <si>
    <t>CCWAR3</t>
  </si>
  <si>
    <t>CCWAR4</t>
  </si>
  <si>
    <t>CCERI3</t>
  </si>
  <si>
    <t>CCERI4</t>
  </si>
  <si>
    <t>CCERI5</t>
  </si>
  <si>
    <t>Single to combined cycle</t>
  </si>
  <si>
    <t>SUR20</t>
  </si>
  <si>
    <t>SUR10</t>
  </si>
  <si>
    <t>WAR10</t>
  </si>
  <si>
    <t>WAR20</t>
  </si>
  <si>
    <t>Capacity factor</t>
  </si>
  <si>
    <t>Qollpana II</t>
  </si>
  <si>
    <t>est. 2021</t>
  </si>
  <si>
    <t>Ivirizu</t>
  </si>
  <si>
    <t>Banda Azul</t>
  </si>
  <si>
    <t>Carrizal</t>
  </si>
  <si>
    <t>Molineros</t>
  </si>
  <si>
    <t>Rositas</t>
  </si>
  <si>
    <t>est. 2029</t>
  </si>
  <si>
    <t>Cambari</t>
  </si>
  <si>
    <t>Cuenca Corani</t>
  </si>
  <si>
    <t>est. 2025</t>
  </si>
  <si>
    <t>Total</t>
  </si>
  <si>
    <t>Large-scale hydropower</t>
  </si>
  <si>
    <t>Cachuela Esperanza</t>
  </si>
  <si>
    <t>El Bala</t>
  </si>
  <si>
    <t>NI</t>
  </si>
  <si>
    <t>[8]</t>
  </si>
  <si>
    <t>Complejo Hidroeléctrico Río Grande-Rositas. Power Point presentation, 2016</t>
  </si>
  <si>
    <t>&lt;link&gt;</t>
  </si>
  <si>
    <t>Link</t>
  </si>
  <si>
    <r>
      <t>EF</t>
    </r>
    <r>
      <rPr>
        <b/>
        <vertAlign val="subscript"/>
        <sz val="11"/>
        <color theme="1"/>
        <rFont val="Calibri"/>
        <family val="2"/>
        <scheme val="minor"/>
      </rPr>
      <t>grid,CM,y</t>
    </r>
  </si>
  <si>
    <t>Units</t>
  </si>
  <si>
    <t>Parameter</t>
  </si>
  <si>
    <t>Description</t>
  </si>
  <si>
    <r>
      <t>Emission factor natural gas [tCO</t>
    </r>
    <r>
      <rPr>
        <vertAlign val="subscript"/>
        <sz val="11"/>
        <color theme="1"/>
        <rFont val="Calibri"/>
        <family val="2"/>
        <scheme val="minor"/>
      </rPr>
      <t>2</t>
    </r>
    <r>
      <rPr>
        <sz val="11"/>
        <color theme="1"/>
        <rFont val="Calibri"/>
        <family val="2"/>
        <scheme val="minor"/>
      </rPr>
      <t>/GJ]</t>
    </r>
  </si>
  <si>
    <t>Constants and conversion factors</t>
  </si>
  <si>
    <r>
      <t>Installed capacity</t>
    </r>
    <r>
      <rPr>
        <sz val="11"/>
        <color theme="1"/>
        <rFont val="Calibri"/>
        <family val="2"/>
        <scheme val="minor"/>
      </rPr>
      <t xml:space="preserve"> [MW]</t>
    </r>
  </si>
  <si>
    <r>
      <t xml:space="preserve">Grid emmissions factor
</t>
    </r>
    <r>
      <rPr>
        <sz val="11"/>
        <color theme="1"/>
        <rFont val="Calibri"/>
        <family val="2"/>
        <scheme val="minor"/>
      </rPr>
      <t>[tCO</t>
    </r>
    <r>
      <rPr>
        <vertAlign val="subscript"/>
        <sz val="11"/>
        <color theme="1"/>
        <rFont val="Calibri"/>
        <family val="2"/>
        <scheme val="minor"/>
      </rPr>
      <t>2</t>
    </r>
    <r>
      <rPr>
        <sz val="11"/>
        <color theme="1"/>
        <rFont val="Calibri"/>
        <family val="2"/>
        <scheme val="minor"/>
      </rPr>
      <t>/MWh]</t>
    </r>
  </si>
  <si>
    <r>
      <t xml:space="preserve">GHG emissions reductions
</t>
    </r>
    <r>
      <rPr>
        <sz val="11"/>
        <color theme="1"/>
        <rFont val="Calibri"/>
        <family val="2"/>
        <scheme val="minor"/>
      </rPr>
      <t>[tCO</t>
    </r>
    <r>
      <rPr>
        <vertAlign val="subscript"/>
        <sz val="11"/>
        <color theme="1"/>
        <rFont val="Calibri"/>
        <family val="2"/>
        <scheme val="minor"/>
      </rPr>
      <t>2</t>
    </r>
    <r>
      <rPr>
        <sz val="11"/>
        <color theme="1"/>
        <rFont val="Calibri"/>
        <family val="2"/>
        <scheme val="minor"/>
      </rPr>
      <t>/y]</t>
    </r>
  </si>
  <si>
    <t>No</t>
  </si>
  <si>
    <r>
      <t xml:space="preserve">Baseline GHG emissions 
</t>
    </r>
    <r>
      <rPr>
        <sz val="11"/>
        <color theme="1"/>
        <rFont val="Calibri"/>
        <family val="2"/>
        <scheme val="minor"/>
      </rPr>
      <t>[tCO</t>
    </r>
    <r>
      <rPr>
        <vertAlign val="subscript"/>
        <sz val="11"/>
        <color theme="1"/>
        <rFont val="Calibri"/>
        <family val="2"/>
        <scheme val="minor"/>
      </rPr>
      <t>2</t>
    </r>
    <r>
      <rPr>
        <sz val="11"/>
        <color theme="1"/>
        <rFont val="Calibri"/>
        <family val="2"/>
        <scheme val="minor"/>
      </rPr>
      <t>/y]</t>
    </r>
  </si>
  <si>
    <t>Commissioning date</t>
  </si>
  <si>
    <t>see above</t>
  </si>
  <si>
    <r>
      <t xml:space="preserve">Emissions factor
</t>
    </r>
    <r>
      <rPr>
        <sz val="11"/>
        <color theme="1"/>
        <rFont val="Calibri"/>
        <family val="2"/>
        <scheme val="minor"/>
      </rPr>
      <t>[tCO</t>
    </r>
    <r>
      <rPr>
        <vertAlign val="subscript"/>
        <sz val="11"/>
        <color theme="1"/>
        <rFont val="Calibri"/>
        <family val="2"/>
        <scheme val="minor"/>
      </rPr>
      <t>2</t>
    </r>
    <r>
      <rPr>
        <sz val="11"/>
        <color theme="1"/>
        <rFont val="Calibri"/>
        <family val="2"/>
        <scheme val="minor"/>
      </rPr>
      <t>/MWh]</t>
    </r>
  </si>
  <si>
    <r>
      <t xml:space="preserve">Project GHG emissions </t>
    </r>
    <r>
      <rPr>
        <sz val="11"/>
        <color theme="1"/>
        <rFont val="Calibri"/>
        <family val="2"/>
        <scheme val="minor"/>
      </rPr>
      <t>[tCO</t>
    </r>
    <r>
      <rPr>
        <vertAlign val="subscript"/>
        <sz val="11"/>
        <color theme="1"/>
        <rFont val="Calibri"/>
        <family val="2"/>
        <scheme val="minor"/>
      </rPr>
      <t>2</t>
    </r>
    <r>
      <rPr>
        <sz val="11"/>
        <color theme="1"/>
        <rFont val="Calibri"/>
        <family val="2"/>
        <scheme val="minor"/>
      </rPr>
      <t>/y]</t>
    </r>
  </si>
  <si>
    <t>Conversion factor [GJ - BTU]</t>
  </si>
  <si>
    <r>
      <t xml:space="preserve">Fuel consumption
</t>
    </r>
    <r>
      <rPr>
        <sz val="11"/>
        <color theme="1"/>
        <rFont val="Calibri"/>
        <family val="2"/>
        <scheme val="minor"/>
      </rPr>
      <t>[GJ]</t>
    </r>
  </si>
  <si>
    <r>
      <t xml:space="preserve">Upstream emissions factor
</t>
    </r>
    <r>
      <rPr>
        <sz val="11"/>
        <color theme="1"/>
        <rFont val="Calibri"/>
        <family val="2"/>
        <scheme val="minor"/>
      </rPr>
      <t>[tCO</t>
    </r>
    <r>
      <rPr>
        <vertAlign val="subscript"/>
        <sz val="11"/>
        <color theme="1"/>
        <rFont val="Calibri"/>
        <family val="2"/>
        <scheme val="minor"/>
      </rPr>
      <t>2</t>
    </r>
    <r>
      <rPr>
        <sz val="11"/>
        <color theme="1"/>
        <rFont val="Calibri"/>
        <family val="2"/>
        <scheme val="minor"/>
      </rPr>
      <t>e/TJ]</t>
    </r>
  </si>
  <si>
    <r>
      <t xml:space="preserve">Leakage
</t>
    </r>
    <r>
      <rPr>
        <sz val="11"/>
        <color theme="1"/>
        <rFont val="Calibri"/>
        <family val="2"/>
        <scheme val="minor"/>
      </rPr>
      <t>[tCO</t>
    </r>
    <r>
      <rPr>
        <vertAlign val="subscript"/>
        <sz val="11"/>
        <color theme="1"/>
        <rFont val="Calibri"/>
        <family val="2"/>
        <scheme val="minor"/>
      </rPr>
      <t>2</t>
    </r>
    <r>
      <rPr>
        <sz val="11"/>
        <color theme="1"/>
        <rFont val="Calibri"/>
        <family val="2"/>
        <scheme val="minor"/>
      </rPr>
      <t>e/y]</t>
    </r>
  </si>
  <si>
    <t>Emissions factors</t>
  </si>
  <si>
    <t>Build margin emissions factor, 2010</t>
  </si>
  <si>
    <t>Combined margin emissions factor, 2010</t>
  </si>
  <si>
    <r>
      <t>EF</t>
    </r>
    <r>
      <rPr>
        <vertAlign val="subscript"/>
        <sz val="11"/>
        <color theme="1"/>
        <rFont val="Calibri"/>
        <family val="2"/>
        <scheme val="minor"/>
      </rPr>
      <t>grid,CM,2010</t>
    </r>
    <r>
      <rPr>
        <sz val="11"/>
        <color theme="1"/>
        <rFont val="Calibri"/>
        <family val="2"/>
        <scheme val="minor"/>
      </rPr>
      <t xml:space="preserve"> &lt; EF</t>
    </r>
    <r>
      <rPr>
        <vertAlign val="subscript"/>
        <sz val="11"/>
        <color theme="1"/>
        <rFont val="Calibri"/>
        <family val="2"/>
        <scheme val="minor"/>
      </rPr>
      <t>grid,BM,2010</t>
    </r>
    <r>
      <rPr>
        <sz val="11"/>
        <color theme="1"/>
        <rFont val="Calibri"/>
        <family val="2"/>
        <scheme val="minor"/>
      </rPr>
      <t>. No alternative technologies are considered (refer to section 5.4.1. of ACM0025, version 2.0). If leakage is negative, it is assumed zero.</t>
    </r>
  </si>
  <si>
    <t>Upstream emissions, operating margin</t>
  </si>
  <si>
    <t>Upstream emissions, build margin</t>
  </si>
  <si>
    <r>
      <t xml:space="preserve">GHG emissions </t>
    </r>
    <r>
      <rPr>
        <sz val="11"/>
        <color theme="1"/>
        <rFont val="Calibri"/>
        <family val="2"/>
        <scheme val="minor"/>
      </rPr>
      <t>[tCO</t>
    </r>
    <r>
      <rPr>
        <vertAlign val="subscript"/>
        <sz val="11"/>
        <color theme="1"/>
        <rFont val="Calibri"/>
        <family val="2"/>
        <scheme val="minor"/>
      </rPr>
      <t>2</t>
    </r>
    <r>
      <rPr>
        <sz val="11"/>
        <color theme="1"/>
        <rFont val="Calibri"/>
        <family val="2"/>
        <scheme val="minor"/>
      </rPr>
      <t>e]</t>
    </r>
  </si>
  <si>
    <r>
      <t>EF</t>
    </r>
    <r>
      <rPr>
        <vertAlign val="subscript"/>
        <sz val="11"/>
        <color theme="1"/>
        <rFont val="Calibri"/>
        <family val="2"/>
        <scheme val="minor"/>
      </rPr>
      <t>BL,us,gridm,2010</t>
    </r>
    <r>
      <rPr>
        <sz val="11"/>
        <color theme="1"/>
        <rFont val="Calibri"/>
        <family val="2"/>
        <scheme val="minor"/>
      </rPr>
      <t xml:space="preserve"> [tCO</t>
    </r>
    <r>
      <rPr>
        <vertAlign val="subscript"/>
        <sz val="11"/>
        <color theme="1"/>
        <rFont val="Calibri"/>
        <family val="2"/>
        <scheme val="minor"/>
      </rPr>
      <t>2</t>
    </r>
    <r>
      <rPr>
        <sz val="11"/>
        <color theme="1"/>
        <rFont val="Calibri"/>
        <family val="2"/>
        <scheme val="minor"/>
      </rPr>
      <t>e/MWh]</t>
    </r>
  </si>
  <si>
    <t>Project emissions include may emissions from fossil fuel combustion and emissions from dry and/or flash steam, and/or from leakege of non-condensable gases and working fluid.</t>
  </si>
  <si>
    <t>Upstream baseline emissions factor, 2010</t>
  </si>
  <si>
    <t>Upstream project emissions factor</t>
  </si>
  <si>
    <r>
      <t>tCO</t>
    </r>
    <r>
      <rPr>
        <vertAlign val="subscript"/>
        <sz val="11"/>
        <color theme="1"/>
        <rFont val="Calibri"/>
        <family val="2"/>
        <scheme val="minor"/>
      </rPr>
      <t>2</t>
    </r>
    <r>
      <rPr>
        <sz val="11"/>
        <color theme="1"/>
        <rFont val="Calibri"/>
        <family val="2"/>
        <scheme val="minor"/>
      </rPr>
      <t>/MWh</t>
    </r>
  </si>
  <si>
    <r>
      <t>tCO</t>
    </r>
    <r>
      <rPr>
        <vertAlign val="subscript"/>
        <sz val="11"/>
        <color theme="1"/>
        <rFont val="Calibri"/>
        <family val="2"/>
        <scheme val="minor"/>
      </rPr>
      <t>2</t>
    </r>
    <r>
      <rPr>
        <sz val="11"/>
        <color theme="1"/>
        <rFont val="Calibri"/>
        <family val="2"/>
        <scheme val="minor"/>
      </rPr>
      <t>e/MWh</t>
    </r>
  </si>
  <si>
    <t>Plan Eléctrico del Estado Plurinacionalde Bolivia 2025</t>
  </si>
  <si>
    <t>[9]</t>
  </si>
  <si>
    <t>San José 1</t>
  </si>
  <si>
    <t>Icla</t>
  </si>
  <si>
    <t>Margarita</t>
  </si>
  <si>
    <t>Río Grande (excl. Juntas)</t>
  </si>
  <si>
    <t>ALT01</t>
  </si>
  <si>
    <t>ALT02</t>
  </si>
  <si>
    <t>BUL03</t>
  </si>
  <si>
    <t>[10]</t>
  </si>
  <si>
    <r>
      <t xml:space="preserve">Generation
</t>
    </r>
    <r>
      <rPr>
        <sz val="11"/>
        <color theme="1"/>
        <rFont val="Calibri"/>
        <family val="2"/>
        <scheme val="minor"/>
      </rPr>
      <t>[MWh]</t>
    </r>
  </si>
  <si>
    <t>Anuario Estadístico del Sector Electrico 2016</t>
  </si>
  <si>
    <t xml:space="preserve"> [1] [8] [9]</t>
  </si>
  <si>
    <t>Capacity additions and GHG emissions reductions</t>
  </si>
  <si>
    <t>GCH12</t>
  </si>
  <si>
    <t>CAR3</t>
  </si>
  <si>
    <t>CAR03</t>
  </si>
  <si>
    <t>El Alto</t>
  </si>
  <si>
    <t>ALT1</t>
  </si>
  <si>
    <t>VHE5</t>
  </si>
  <si>
    <t>VHE6</t>
  </si>
  <si>
    <t>VHE7</t>
  </si>
  <si>
    <t>VHE8</t>
  </si>
  <si>
    <t>QOL12</t>
  </si>
  <si>
    <t>ALT2</t>
  </si>
  <si>
    <t>UNA01</t>
  </si>
  <si>
    <t>BUL3</t>
  </si>
  <si>
    <t>SUR01</t>
  </si>
  <si>
    <t>SUR02</t>
  </si>
  <si>
    <t>SUR03</t>
  </si>
  <si>
    <t>SUR04</t>
  </si>
  <si>
    <t>SJA01</t>
  </si>
  <si>
    <t>SJA02</t>
  </si>
  <si>
    <t>WAR01</t>
  </si>
  <si>
    <t>WAR02</t>
  </si>
  <si>
    <t>WAR03</t>
  </si>
  <si>
    <t>WAR04</t>
  </si>
  <si>
    <t>WAR05</t>
  </si>
  <si>
    <t>QUE01</t>
  </si>
  <si>
    <t>QUE02</t>
  </si>
  <si>
    <t>QOL Fase I</t>
  </si>
  <si>
    <t>QOL Fase II</t>
  </si>
  <si>
    <t xml:space="preserve">MIS </t>
  </si>
  <si>
    <t>Yunchara</t>
  </si>
  <si>
    <t xml:space="preserve">YUN </t>
  </si>
  <si>
    <t>YUN</t>
  </si>
  <si>
    <t>IAG01</t>
  </si>
  <si>
    <t>IAG</t>
  </si>
  <si>
    <t>MIS01</t>
  </si>
  <si>
    <t>MIS02</t>
  </si>
  <si>
    <t>MIS03</t>
  </si>
  <si>
    <t>14/10/2014</t>
  </si>
  <si>
    <t>23/09/2014</t>
  </si>
  <si>
    <t>18/7/2014</t>
  </si>
  <si>
    <t>27/1/2014</t>
  </si>
  <si>
    <t xml:space="preserve">Grid emissions factors </t>
  </si>
  <si>
    <t>Operating margin emissions factor</t>
  </si>
  <si>
    <r>
      <t xml:space="preserve">Emission factor*
</t>
    </r>
    <r>
      <rPr>
        <sz val="11"/>
        <color theme="1"/>
        <rFont val="Calibri"/>
        <family val="2"/>
        <scheme val="minor"/>
      </rPr>
      <t>[tCO</t>
    </r>
    <r>
      <rPr>
        <vertAlign val="subscript"/>
        <sz val="11"/>
        <color theme="1"/>
        <rFont val="Calibri"/>
        <family val="2"/>
        <scheme val="minor"/>
      </rPr>
      <t>2</t>
    </r>
    <r>
      <rPr>
        <sz val="11"/>
        <color theme="1"/>
        <rFont val="Calibri"/>
        <family val="2"/>
        <scheme val="minor"/>
      </rPr>
      <t>/MWh]</t>
    </r>
  </si>
  <si>
    <r>
      <t xml:space="preserve">Generation 
</t>
    </r>
    <r>
      <rPr>
        <sz val="11"/>
        <color theme="1"/>
        <rFont val="Calibri"/>
        <family val="2"/>
        <scheme val="minor"/>
      </rPr>
      <t>[MWh]</t>
    </r>
  </si>
  <si>
    <t>Build margin emissions factor</t>
  </si>
  <si>
    <t>Greenhouse gas emissions reductions from investments in power generation</t>
  </si>
  <si>
    <t>Grid emissions factors</t>
  </si>
  <si>
    <t>Operating margin emissions factors</t>
  </si>
  <si>
    <t>A</t>
  </si>
  <si>
    <t>B</t>
  </si>
  <si>
    <t>C</t>
  </si>
  <si>
    <t>Build margin emissions factors</t>
  </si>
  <si>
    <t>D</t>
  </si>
  <si>
    <t>Greenhouse gas emissions reductions</t>
  </si>
  <si>
    <t>E</t>
  </si>
  <si>
    <t>Others</t>
  </si>
  <si>
    <t>Section</t>
  </si>
  <si>
    <t>Contents</t>
  </si>
  <si>
    <t>Leakage from natural gas upstream emissions</t>
  </si>
  <si>
    <t>References</t>
  </si>
  <si>
    <t>References and sources of information</t>
  </si>
  <si>
    <t>Natural gas upstream emissions factor</t>
  </si>
  <si>
    <t>Anuario Estadístico del Sector Electrico 2017</t>
  </si>
  <si>
    <t>Anuario Estadístico del Sector Electrico 2013</t>
  </si>
  <si>
    <t>Anuario Estadístico del Sector Electrico 2014</t>
  </si>
  <si>
    <t>Anuario Estadístico del Sector Electrico 2015</t>
  </si>
  <si>
    <t>Anuario Estadístico del Sector Electrico 2011</t>
  </si>
  <si>
    <t>Anuario Estadístico del Sector Electrico 2012</t>
  </si>
  <si>
    <t>Anuario Estadístico del Sector Electrico 2010</t>
  </si>
  <si>
    <t>Anuario Estadístico del Sector Electrico 2007</t>
  </si>
  <si>
    <t>Anuario Estadístico del Sector Electrico 2008/09</t>
  </si>
  <si>
    <t>[11]</t>
  </si>
  <si>
    <t>[12]</t>
  </si>
  <si>
    <t>[13]</t>
  </si>
  <si>
    <t>[14]</t>
  </si>
  <si>
    <t>[15]</t>
  </si>
  <si>
    <t>[16]</t>
  </si>
  <si>
    <t>[17]</t>
  </si>
  <si>
    <t>[18]</t>
  </si>
  <si>
    <t>[19]</t>
  </si>
  <si>
    <t>[8] [19]</t>
  </si>
  <si>
    <t>Plant/unit emissions factors</t>
  </si>
  <si>
    <r>
      <t>Capacity</t>
    </r>
    <r>
      <rPr>
        <sz val="11"/>
        <color theme="1"/>
        <rFont val="Calibri"/>
        <family val="2"/>
        <scheme val="minor"/>
      </rPr>
      <t xml:space="preserve"> [MW]</t>
    </r>
  </si>
  <si>
    <r>
      <t>Heat rate</t>
    </r>
    <r>
      <rPr>
        <sz val="11"/>
        <color theme="1"/>
        <rFont val="Calibri"/>
        <family val="2"/>
        <scheme val="minor"/>
      </rPr>
      <t xml:space="preserve"> [BTU/kWh]</t>
    </r>
  </si>
  <si>
    <t>Plant/unit emissions factors 2008</t>
  </si>
  <si>
    <t>Renewable energy generation [MWh]</t>
  </si>
  <si>
    <t>Fraction renewable energy [%]</t>
  </si>
  <si>
    <t>Fraction fossil fuels [%]</t>
  </si>
  <si>
    <t>Fossil fuel based generation [MWh]</t>
  </si>
  <si>
    <t>Transmission and distribution losses [%]</t>
  </si>
  <si>
    <t>Electricity demand [MWh]</t>
  </si>
  <si>
    <t>Total electricity demand [MWh]</t>
  </si>
  <si>
    <t>San Jose I</t>
  </si>
  <si>
    <t>San José II</t>
  </si>
  <si>
    <t>Capacity additions 2018 - 2030</t>
  </si>
  <si>
    <t>Existing plants</t>
  </si>
  <si>
    <t>Oruro</t>
  </si>
  <si>
    <t>Hydro A</t>
  </si>
  <si>
    <t>Hydro B</t>
  </si>
  <si>
    <t>Hidro B</t>
  </si>
  <si>
    <t>Hydro C</t>
  </si>
  <si>
    <t>Hidro A</t>
  </si>
  <si>
    <t>Hidro C</t>
  </si>
  <si>
    <t>Wind A</t>
  </si>
  <si>
    <t>Wind B</t>
  </si>
  <si>
    <t>Wind C</t>
  </si>
  <si>
    <t>Solar A</t>
  </si>
  <si>
    <t>Solar B</t>
  </si>
  <si>
    <t>Solar C</t>
  </si>
  <si>
    <t>GEO A</t>
  </si>
  <si>
    <t>Existing hydro</t>
  </si>
  <si>
    <t>New hydro</t>
  </si>
  <si>
    <t>Existing wind</t>
  </si>
  <si>
    <t>New wind</t>
  </si>
  <si>
    <t>New solar</t>
  </si>
  <si>
    <t>Existing biomass</t>
  </si>
  <si>
    <t>New biomass</t>
  </si>
  <si>
    <t>Existing natural gas</t>
  </si>
  <si>
    <t>New natural gas</t>
  </si>
  <si>
    <t>Hydro D</t>
  </si>
  <si>
    <t>Hidro D</t>
  </si>
  <si>
    <t>Hydro E</t>
  </si>
  <si>
    <t>Hidro E</t>
  </si>
  <si>
    <t>Hydro F</t>
  </si>
  <si>
    <t>Hidro F</t>
  </si>
  <si>
    <t>New geothermal</t>
  </si>
  <si>
    <t>Grid emission factor</t>
  </si>
  <si>
    <r>
      <t xml:space="preserve">Emission factor (2017)
</t>
    </r>
    <r>
      <rPr>
        <sz val="11"/>
        <color theme="1"/>
        <rFont val="Calibri"/>
        <family val="2"/>
        <scheme val="minor"/>
      </rPr>
      <t>[tCO</t>
    </r>
    <r>
      <rPr>
        <vertAlign val="subscript"/>
        <sz val="11"/>
        <color theme="1"/>
        <rFont val="Calibri"/>
        <family val="2"/>
        <scheme val="minor"/>
      </rPr>
      <t>2</t>
    </r>
    <r>
      <rPr>
        <sz val="11"/>
        <color theme="1"/>
        <rFont val="Calibri"/>
        <family val="2"/>
        <scheme val="minor"/>
      </rPr>
      <t>/MWh]</t>
    </r>
  </si>
  <si>
    <r>
      <t>Greenhouse gas emissions [tCO</t>
    </r>
    <r>
      <rPr>
        <vertAlign val="subscript"/>
        <sz val="11"/>
        <color theme="1"/>
        <rFont val="Calibri"/>
        <family val="2"/>
        <scheme val="minor"/>
      </rPr>
      <t>2</t>
    </r>
    <r>
      <rPr>
        <sz val="11"/>
        <color theme="1"/>
        <rFont val="Calibri"/>
        <family val="2"/>
        <scheme val="minor"/>
      </rPr>
      <t>e]</t>
    </r>
  </si>
  <si>
    <r>
      <t xml:space="preserve">Emission factor 
</t>
    </r>
    <r>
      <rPr>
        <sz val="11"/>
        <color theme="1"/>
        <rFont val="Calibri"/>
        <family val="2"/>
        <scheme val="minor"/>
      </rPr>
      <t>[tCO</t>
    </r>
    <r>
      <rPr>
        <vertAlign val="subscript"/>
        <sz val="11"/>
        <color theme="1"/>
        <rFont val="Calibri"/>
        <family val="2"/>
        <scheme val="minor"/>
      </rPr>
      <t>2</t>
    </r>
    <r>
      <rPr>
        <sz val="11"/>
        <color theme="1"/>
        <rFont val="Calibri"/>
        <family val="2"/>
        <scheme val="minor"/>
      </rPr>
      <t>/MWh]</t>
    </r>
  </si>
  <si>
    <r>
      <t>Average operting margin emission factor [tCO</t>
    </r>
    <r>
      <rPr>
        <vertAlign val="subscript"/>
        <sz val="11"/>
        <color theme="1"/>
        <rFont val="Calibri"/>
        <family val="2"/>
        <scheme val="minor"/>
      </rPr>
      <t>2</t>
    </r>
    <r>
      <rPr>
        <sz val="11"/>
        <color theme="1"/>
        <rFont val="Calibri"/>
        <family val="2"/>
        <scheme val="minor"/>
      </rPr>
      <t>e/MWh]</t>
    </r>
  </si>
  <si>
    <t xml:space="preserve">Electricity demand  </t>
  </si>
  <si>
    <r>
      <t>Simple operating margin emission factor [tCO</t>
    </r>
    <r>
      <rPr>
        <vertAlign val="subscript"/>
        <sz val="11"/>
        <color theme="1"/>
        <rFont val="Calibri"/>
        <family val="2"/>
        <scheme val="minor"/>
      </rPr>
      <t>2</t>
    </r>
    <r>
      <rPr>
        <sz val="11"/>
        <color theme="1"/>
        <rFont val="Calibri"/>
        <family val="2"/>
        <scheme val="minor"/>
      </rPr>
      <t>e/MWh]</t>
    </r>
  </si>
  <si>
    <t>CCWAR2</t>
  </si>
  <si>
    <t>CCWAR1</t>
  </si>
  <si>
    <t>CCSUR2</t>
  </si>
  <si>
    <t>CCSUR1</t>
  </si>
  <si>
    <t>Installed capacity</t>
  </si>
  <si>
    <t>Fossil fuel based [MW]</t>
  </si>
  <si>
    <t>Total capacity [MW]</t>
  </si>
  <si>
    <r>
      <t xml:space="preserve">Capacity
</t>
    </r>
    <r>
      <rPr>
        <sz val="11"/>
        <color theme="1"/>
        <rFont val="Calibri"/>
        <family val="2"/>
        <scheme val="minor"/>
      </rPr>
      <t>[MW]</t>
    </r>
  </si>
  <si>
    <t>Hydro [MW]</t>
  </si>
  <si>
    <t>Fraction hydro [%]</t>
  </si>
  <si>
    <t>Wind [MW]</t>
  </si>
  <si>
    <t>Fraction  wind [%]</t>
  </si>
  <si>
    <t>Solar [MW]</t>
  </si>
  <si>
    <t>Fraction solar [%]</t>
  </si>
  <si>
    <t>Geothermal [MW]</t>
  </si>
  <si>
    <t>Fraction geothermal [%]</t>
  </si>
  <si>
    <t>Biomass [MW]</t>
  </si>
  <si>
    <t>Fraction biomass [%]</t>
  </si>
  <si>
    <t>Capacity additions</t>
  </si>
  <si>
    <t>Renewables [MW]</t>
  </si>
  <si>
    <t>Total capacity additions [MW]</t>
  </si>
  <si>
    <t>Pequenas centrales</t>
  </si>
  <si>
    <t>Moliineros</t>
  </si>
  <si>
    <t>Otras  nuevas plantas</t>
  </si>
  <si>
    <t>Riberalta</t>
  </si>
  <si>
    <t>Riberalta - Guayamerin</t>
  </si>
  <si>
    <t>1967/1980</t>
  </si>
  <si>
    <t>1936/1942/2001</t>
  </si>
  <si>
    <t>1973/1981/1983/2004</t>
  </si>
  <si>
    <t>1998/2002</t>
  </si>
  <si>
    <t>Electricity surplus [MWh]</t>
  </si>
  <si>
    <t>Natural Gas A</t>
  </si>
  <si>
    <t>Natural Gas B</t>
  </si>
  <si>
    <t>F</t>
  </si>
  <si>
    <t>Scenarios. Nationally determined contribution</t>
  </si>
  <si>
    <t>Scenarios</t>
  </si>
  <si>
    <t>Current electricity demand</t>
  </si>
  <si>
    <t>Nationally determined contribution</t>
  </si>
  <si>
    <t>100% renewables</t>
  </si>
  <si>
    <t>Scenario: current electricity demand</t>
  </si>
  <si>
    <t>Graphs</t>
  </si>
  <si>
    <t>Scenario: nationally determined contribution</t>
  </si>
  <si>
    <t>Scenario: 100% renewable energy</t>
  </si>
  <si>
    <r>
      <t>Capacity</t>
    </r>
    <r>
      <rPr>
        <sz val="11"/>
        <color theme="1"/>
        <rFont val="Calibri"/>
        <family val="2"/>
        <scheme val="minor"/>
      </rPr>
      <t xml:space="preserve"> 
[MW]</t>
    </r>
  </si>
  <si>
    <r>
      <t>Maximum operation time
T</t>
    </r>
    <r>
      <rPr>
        <b/>
        <vertAlign val="subscript"/>
        <sz val="11"/>
        <color theme="1"/>
        <rFont val="Calibri"/>
        <family val="2"/>
        <scheme val="minor"/>
      </rPr>
      <t>max</t>
    </r>
    <r>
      <rPr>
        <b/>
        <sz val="11"/>
        <color theme="1"/>
        <rFont val="Calibri"/>
        <family val="2"/>
        <scheme val="minor"/>
      </rPr>
      <t xml:space="preserve">
</t>
    </r>
    <r>
      <rPr>
        <sz val="11"/>
        <color theme="1"/>
        <rFont val="Calibri"/>
        <family val="2"/>
        <scheme val="minor"/>
      </rPr>
      <t>[h]</t>
    </r>
  </si>
  <si>
    <r>
      <t>Capacity</t>
    </r>
    <r>
      <rPr>
        <sz val="11"/>
        <color theme="1"/>
        <rFont val="Calibri"/>
        <family val="2"/>
        <scheme val="minor"/>
      </rPr>
      <t xml:space="preserve"> 
</t>
    </r>
    <r>
      <rPr>
        <b/>
        <sz val="11"/>
        <color theme="1"/>
        <rFont val="Calibri"/>
        <family val="2"/>
        <scheme val="minor"/>
      </rPr>
      <t>Cap</t>
    </r>
    <r>
      <rPr>
        <b/>
        <vertAlign val="subscript"/>
        <sz val="11"/>
        <color theme="1"/>
        <rFont val="Calibri"/>
        <family val="2"/>
        <scheme val="minor"/>
      </rPr>
      <t>max</t>
    </r>
    <r>
      <rPr>
        <sz val="11"/>
        <color theme="1"/>
        <rFont val="Calibri"/>
        <family val="2"/>
        <scheme val="minor"/>
      </rPr>
      <t xml:space="preserve">
[MW]</t>
    </r>
  </si>
  <si>
    <t>CCSUR10</t>
  </si>
  <si>
    <t>Unit converted</t>
  </si>
  <si>
    <t>New unit</t>
  </si>
  <si>
    <r>
      <t xml:space="preserve">Generation 2017 </t>
    </r>
    <r>
      <rPr>
        <sz val="11"/>
        <color theme="1"/>
        <rFont val="Calibri"/>
        <family val="2"/>
        <scheme val="minor"/>
      </rPr>
      <t>[MWh]</t>
    </r>
  </si>
  <si>
    <r>
      <t>Average generation
EG</t>
    </r>
    <r>
      <rPr>
        <b/>
        <vertAlign val="subscript"/>
        <sz val="11"/>
        <color theme="1"/>
        <rFont val="Calibri"/>
        <family val="2"/>
        <scheme val="minor"/>
      </rPr>
      <t xml:space="preserve">BL,AVR
</t>
    </r>
    <r>
      <rPr>
        <sz val="11"/>
        <color theme="1"/>
        <rFont val="Calibri"/>
        <family val="2"/>
        <scheme val="minor"/>
      </rPr>
      <t>[MWh]</t>
    </r>
  </si>
  <si>
    <r>
      <t>Generation 
EG</t>
    </r>
    <r>
      <rPr>
        <b/>
        <vertAlign val="subscript"/>
        <sz val="11"/>
        <color theme="1"/>
        <rFont val="Calibri"/>
        <family val="2"/>
        <scheme val="minor"/>
      </rPr>
      <t>PJ,adj,y</t>
    </r>
    <r>
      <rPr>
        <b/>
        <sz val="11"/>
        <color theme="1"/>
        <rFont val="Calibri"/>
        <family val="2"/>
        <scheme val="minor"/>
      </rPr>
      <t xml:space="preserve">
</t>
    </r>
    <r>
      <rPr>
        <sz val="11"/>
        <color theme="1"/>
        <rFont val="Calibri"/>
        <family val="2"/>
        <scheme val="minor"/>
      </rPr>
      <t>[MWh]</t>
    </r>
  </si>
  <si>
    <r>
      <t>Grid emission factor
EF</t>
    </r>
    <r>
      <rPr>
        <b/>
        <vertAlign val="subscript"/>
        <sz val="11"/>
        <color theme="1"/>
        <rFont val="Calibri"/>
        <family val="2"/>
        <scheme val="minor"/>
      </rPr>
      <t>grid,CM,2010</t>
    </r>
    <r>
      <rPr>
        <b/>
        <sz val="11"/>
        <color theme="1"/>
        <rFont val="Calibri"/>
        <family val="2"/>
        <scheme val="minor"/>
      </rPr>
      <t xml:space="preserve">
</t>
    </r>
    <r>
      <rPr>
        <sz val="11"/>
        <color theme="1"/>
        <rFont val="Calibri"/>
        <family val="2"/>
        <scheme val="minor"/>
      </rPr>
      <t>[tCO</t>
    </r>
    <r>
      <rPr>
        <vertAlign val="subscript"/>
        <sz val="11"/>
        <color theme="1"/>
        <rFont val="Calibri"/>
        <family val="2"/>
        <scheme val="minor"/>
      </rPr>
      <t>2</t>
    </r>
    <r>
      <rPr>
        <sz val="11"/>
        <color theme="1"/>
        <rFont val="Calibri"/>
        <family val="2"/>
        <scheme val="minor"/>
      </rPr>
      <t>/MWh]</t>
    </r>
  </si>
  <si>
    <r>
      <t>Maximum energy 
EG</t>
    </r>
    <r>
      <rPr>
        <b/>
        <vertAlign val="subscript"/>
        <sz val="11"/>
        <color theme="1"/>
        <rFont val="Calibri"/>
        <family val="2"/>
        <scheme val="minor"/>
      </rPr>
      <t>max</t>
    </r>
    <r>
      <rPr>
        <b/>
        <sz val="11"/>
        <color theme="1"/>
        <rFont val="Calibri"/>
        <family val="2"/>
        <scheme val="minor"/>
      </rPr>
      <t xml:space="preserve">
</t>
    </r>
    <r>
      <rPr>
        <sz val="11"/>
        <color theme="1"/>
        <rFont val="Calibri"/>
        <family val="2"/>
        <scheme val="minor"/>
      </rPr>
      <t>[MWh]</t>
    </r>
  </si>
  <si>
    <r>
      <t>Emission factor baseline
EF</t>
    </r>
    <r>
      <rPr>
        <b/>
        <vertAlign val="subscript"/>
        <sz val="11"/>
        <color theme="1"/>
        <rFont val="Calibri"/>
        <family val="2"/>
        <scheme val="minor"/>
      </rPr>
      <t>CO2,BL</t>
    </r>
    <r>
      <rPr>
        <b/>
        <sz val="11"/>
        <color theme="1"/>
        <rFont val="Calibri"/>
        <family val="2"/>
        <scheme val="minor"/>
      </rPr>
      <t xml:space="preserve">
</t>
    </r>
    <r>
      <rPr>
        <sz val="11"/>
        <color theme="1"/>
        <rFont val="Calibri"/>
        <family val="2"/>
        <scheme val="minor"/>
      </rPr>
      <t>[tCO</t>
    </r>
    <r>
      <rPr>
        <vertAlign val="subscript"/>
        <sz val="11"/>
        <color theme="1"/>
        <rFont val="Calibri"/>
        <family val="2"/>
        <scheme val="minor"/>
      </rPr>
      <t>2</t>
    </r>
    <r>
      <rPr>
        <sz val="11"/>
        <color theme="1"/>
        <rFont val="Calibri"/>
        <family val="2"/>
        <scheme val="minor"/>
      </rPr>
      <t>/MWh]</t>
    </r>
  </si>
  <si>
    <r>
      <t>Emission factor project
EF</t>
    </r>
    <r>
      <rPr>
        <b/>
        <vertAlign val="subscript"/>
        <sz val="11"/>
        <color theme="1"/>
        <rFont val="Calibri"/>
        <family val="2"/>
        <scheme val="minor"/>
      </rPr>
      <t>CO2,PJ</t>
    </r>
    <r>
      <rPr>
        <b/>
        <sz val="11"/>
        <color theme="1"/>
        <rFont val="Calibri"/>
        <family val="2"/>
        <scheme val="minor"/>
      </rPr>
      <t xml:space="preserve">
</t>
    </r>
    <r>
      <rPr>
        <sz val="11"/>
        <color theme="1"/>
        <rFont val="Calibri"/>
        <family val="2"/>
        <scheme val="minor"/>
      </rPr>
      <t>[tCO</t>
    </r>
    <r>
      <rPr>
        <vertAlign val="subscript"/>
        <sz val="11"/>
        <color theme="1"/>
        <rFont val="Calibri"/>
        <family val="2"/>
        <scheme val="minor"/>
      </rPr>
      <t>2</t>
    </r>
    <r>
      <rPr>
        <sz val="11"/>
        <color theme="1"/>
        <rFont val="Calibri"/>
        <family val="2"/>
        <scheme val="minor"/>
      </rPr>
      <t>/MWh]</t>
    </r>
  </si>
  <si>
    <r>
      <t>Project emissions
PE</t>
    </r>
    <r>
      <rPr>
        <b/>
        <vertAlign val="subscript"/>
        <sz val="11"/>
        <color theme="1"/>
        <rFont val="Calibri"/>
        <family val="2"/>
        <scheme val="minor"/>
      </rPr>
      <t>y</t>
    </r>
    <r>
      <rPr>
        <b/>
        <sz val="11"/>
        <color theme="1"/>
        <rFont val="Calibri"/>
        <family val="2"/>
        <scheme val="minor"/>
      </rPr>
      <t xml:space="preserve">
 </t>
    </r>
    <r>
      <rPr>
        <sz val="11"/>
        <color theme="1"/>
        <rFont val="Calibri"/>
        <family val="2"/>
        <scheme val="minor"/>
      </rPr>
      <t>[tCO</t>
    </r>
    <r>
      <rPr>
        <vertAlign val="subscript"/>
        <sz val="11"/>
        <color theme="1"/>
        <rFont val="Calibri"/>
        <family val="2"/>
        <scheme val="minor"/>
      </rPr>
      <t>2</t>
    </r>
    <r>
      <rPr>
        <sz val="11"/>
        <color theme="1"/>
        <rFont val="Calibri"/>
        <family val="2"/>
        <scheme val="minor"/>
      </rPr>
      <t>/y]</t>
    </r>
  </si>
  <si>
    <r>
      <t xml:space="preserve">Heat rate 2015
 </t>
    </r>
    <r>
      <rPr>
        <sz val="11"/>
        <color theme="1"/>
        <rFont val="Calibri"/>
        <family val="2"/>
        <scheme val="minor"/>
      </rPr>
      <t>[BTU/kWh]</t>
    </r>
  </si>
  <si>
    <r>
      <t xml:space="preserve">Fuel consumption 2015
</t>
    </r>
    <r>
      <rPr>
        <sz val="11"/>
        <color theme="1"/>
        <rFont val="Calibri"/>
        <family val="2"/>
        <scheme val="minor"/>
      </rPr>
      <t>[GJ]</t>
    </r>
  </si>
  <si>
    <r>
      <t xml:space="preserve">Heat rate 2016
 </t>
    </r>
    <r>
      <rPr>
        <sz val="11"/>
        <color theme="1"/>
        <rFont val="Calibri"/>
        <family val="2"/>
        <scheme val="minor"/>
      </rPr>
      <t>[BTU/kWh]</t>
    </r>
  </si>
  <si>
    <r>
      <t xml:space="preserve">Heat rate 2017
 </t>
    </r>
    <r>
      <rPr>
        <sz val="11"/>
        <color theme="1"/>
        <rFont val="Calibri"/>
        <family val="2"/>
        <scheme val="minor"/>
      </rPr>
      <t>[BTU/kWh]</t>
    </r>
  </si>
  <si>
    <r>
      <t xml:space="preserve">Fuel consumption 2017
</t>
    </r>
    <r>
      <rPr>
        <sz val="11"/>
        <color theme="1"/>
        <rFont val="Calibri"/>
        <family val="2"/>
        <scheme val="minor"/>
      </rPr>
      <t>[GJ]</t>
    </r>
  </si>
  <si>
    <r>
      <t xml:space="preserve">Fuel consumption 2016
</t>
    </r>
    <r>
      <rPr>
        <sz val="11"/>
        <color theme="1"/>
        <rFont val="Calibri"/>
        <family val="2"/>
        <scheme val="minor"/>
      </rPr>
      <t>[GJ]</t>
    </r>
  </si>
  <si>
    <r>
      <t xml:space="preserve">Fuel consumption </t>
    </r>
    <r>
      <rPr>
        <sz val="11"/>
        <color theme="1"/>
        <rFont val="Calibri"/>
        <family val="2"/>
        <scheme val="minor"/>
      </rPr>
      <t>[GJ]</t>
    </r>
  </si>
  <si>
    <t>Leakage</t>
  </si>
  <si>
    <r>
      <t xml:space="preserve">Average fuel consumption single cycle
</t>
    </r>
    <r>
      <rPr>
        <sz val="11"/>
        <color theme="1"/>
        <rFont val="Calibri"/>
        <family val="2"/>
        <scheme val="minor"/>
      </rPr>
      <t>[GJ]</t>
    </r>
  </si>
  <si>
    <t>Increase in upstream emissions</t>
  </si>
  <si>
    <r>
      <t>Baseline emissions
BE</t>
    </r>
    <r>
      <rPr>
        <b/>
        <vertAlign val="subscript"/>
        <sz val="11"/>
        <color theme="1"/>
        <rFont val="Calibri"/>
        <family val="2"/>
        <scheme val="minor"/>
      </rPr>
      <t>y</t>
    </r>
    <r>
      <rPr>
        <b/>
        <sz val="11"/>
        <color theme="1"/>
        <rFont val="Calibri"/>
        <family val="2"/>
        <scheme val="minor"/>
      </rPr>
      <t xml:space="preserve">
</t>
    </r>
    <r>
      <rPr>
        <sz val="11"/>
        <color theme="1"/>
        <rFont val="Calibri"/>
        <family val="2"/>
        <scheme val="minor"/>
      </rPr>
      <t>[tCO</t>
    </r>
    <r>
      <rPr>
        <vertAlign val="subscript"/>
        <sz val="11"/>
        <color theme="1"/>
        <rFont val="Calibri"/>
        <family val="2"/>
        <scheme val="minor"/>
      </rPr>
      <t>2</t>
    </r>
    <r>
      <rPr>
        <sz val="11"/>
        <color theme="1"/>
        <rFont val="Calibri"/>
        <family val="2"/>
        <scheme val="minor"/>
      </rPr>
      <t>/y]</t>
    </r>
  </si>
  <si>
    <r>
      <t>Leakage
LE</t>
    </r>
    <r>
      <rPr>
        <b/>
        <vertAlign val="subscript"/>
        <sz val="11"/>
        <color theme="1"/>
        <rFont val="Calibri"/>
        <family val="2"/>
        <scheme val="minor"/>
      </rPr>
      <t>y</t>
    </r>
    <r>
      <rPr>
        <b/>
        <sz val="11"/>
        <color theme="1"/>
        <rFont val="Calibri"/>
        <family val="2"/>
        <scheme val="minor"/>
      </rPr>
      <t xml:space="preserve">
</t>
    </r>
    <r>
      <rPr>
        <sz val="11"/>
        <color theme="1"/>
        <rFont val="Calibri"/>
        <family val="2"/>
        <scheme val="minor"/>
      </rPr>
      <t>[tCO</t>
    </r>
    <r>
      <rPr>
        <vertAlign val="subscript"/>
        <sz val="11"/>
        <color theme="1"/>
        <rFont val="Calibri"/>
        <family val="2"/>
        <scheme val="minor"/>
      </rPr>
      <t>2</t>
    </r>
    <r>
      <rPr>
        <sz val="11"/>
        <color theme="1"/>
        <rFont val="Calibri"/>
        <family val="2"/>
        <scheme val="minor"/>
      </rPr>
      <t>/y]</t>
    </r>
  </si>
  <si>
    <r>
      <t>Emissions reductions
ER</t>
    </r>
    <r>
      <rPr>
        <b/>
        <vertAlign val="subscript"/>
        <sz val="11"/>
        <color theme="1"/>
        <rFont val="Calibri"/>
        <family val="2"/>
        <scheme val="minor"/>
      </rPr>
      <t>y</t>
    </r>
    <r>
      <rPr>
        <b/>
        <sz val="11"/>
        <color theme="1"/>
        <rFont val="Calibri"/>
        <family val="2"/>
        <scheme val="minor"/>
      </rPr>
      <t xml:space="preserve">
</t>
    </r>
    <r>
      <rPr>
        <sz val="11"/>
        <color theme="1"/>
        <rFont val="Calibri"/>
        <family val="2"/>
        <scheme val="minor"/>
      </rPr>
      <t>[tCO</t>
    </r>
    <r>
      <rPr>
        <vertAlign val="subscript"/>
        <sz val="11"/>
        <color theme="1"/>
        <rFont val="Calibri"/>
        <family val="2"/>
        <scheme val="minor"/>
      </rPr>
      <t>2</t>
    </r>
    <r>
      <rPr>
        <sz val="11"/>
        <color theme="1"/>
        <rFont val="Calibri"/>
        <family val="2"/>
        <scheme val="minor"/>
      </rPr>
      <t>/y]</t>
    </r>
  </si>
  <si>
    <t>CCSUR20</t>
  </si>
  <si>
    <r>
      <t xml:space="preserve">Generation 2015 
</t>
    </r>
    <r>
      <rPr>
        <sz val="11"/>
        <color theme="1"/>
        <rFont val="Calibri"/>
        <family val="2"/>
        <scheme val="minor"/>
      </rPr>
      <t>[MWh]</t>
    </r>
  </si>
  <si>
    <r>
      <t xml:space="preserve">Generation 2016 
</t>
    </r>
    <r>
      <rPr>
        <sz val="11"/>
        <color theme="1"/>
        <rFont val="Calibri"/>
        <family val="2"/>
        <scheme val="minor"/>
      </rPr>
      <t>[MWh]</t>
    </r>
  </si>
  <si>
    <t>CCWAR10</t>
  </si>
  <si>
    <t>CCWAR20</t>
  </si>
  <si>
    <t>Greenhouse gas emissions reductions - combined cycle</t>
  </si>
  <si>
    <t>For calculation see worksheet "GHG-ER-SC-&gt;CC"</t>
  </si>
  <si>
    <t>[20]</t>
  </si>
  <si>
    <t>Plan de Desarrollo Económico y Social 2016 - 2020</t>
  </si>
  <si>
    <t>est.  2020</t>
  </si>
  <si>
    <t>Greenhouse gas emissions reductions from projects to convert from single to combined cycle</t>
  </si>
  <si>
    <t>Historic grid emissions factors (2008 - 2017)</t>
  </si>
  <si>
    <t>Grid emissions factors under the scenario with current electricity demand (2008 - 2030)</t>
  </si>
  <si>
    <t>Grid emissions factors under the nationally determined contribution (2008 - 2030)</t>
  </si>
  <si>
    <t>Grid emissions factors under a scenario with 100% renewable energy generation (2008 - 2030)</t>
  </si>
  <si>
    <t>Scenario 100% RE</t>
  </si>
  <si>
    <t>Scenario NDC</t>
  </si>
  <si>
    <t>Investment (USD/kW)</t>
  </si>
  <si>
    <t>Investment (000 USD)</t>
  </si>
  <si>
    <t>Type of Technology</t>
  </si>
  <si>
    <t>Investment</t>
  </si>
  <si>
    <t>G</t>
  </si>
  <si>
    <t>Generation (GWh)</t>
  </si>
  <si>
    <t>$us/MWh</t>
  </si>
  <si>
    <t>Scenarios. 100% RE</t>
  </si>
  <si>
    <t>Energy Production Cost</t>
  </si>
  <si>
    <t>Levelized Energy Cost (LEC)</t>
  </si>
  <si>
    <t>000$us</t>
  </si>
  <si>
    <t>Simple Cycle</t>
  </si>
  <si>
    <t>Combined cycle</t>
  </si>
  <si>
    <t>Hydroelectric</t>
  </si>
  <si>
    <t>Solar</t>
  </si>
  <si>
    <t>Technology</t>
  </si>
  <si>
    <t>Production Cost Energy</t>
  </si>
  <si>
    <t>H</t>
  </si>
  <si>
    <t>Levelized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</si>
</sst>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0.0"/>
    <numFmt numFmtId="166" formatCode="_(* #,##0_);_(* \(#,##0\);_(* &quot;-&quot;??_);_(@_)"/>
    <numFmt numFmtId="167" formatCode="_(* #,##0.000_);_(* \(#,##0.000\);_(* &quot;-&quot;??_);_(@_)"/>
    <numFmt numFmtId="168" formatCode="_(* #,##0.0000_);_(* \(#,##0.0000\);_(* &quot;-&quot;??_);_(@_)"/>
    <numFmt numFmtId="169" formatCode="_(* #,##0.0_);_(* \(#,##0.0\);_(* &quot;-&quot;??_);_(@_)"/>
  </numFmts>
  <fonts count="3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vertAlign val="subscript"/>
      <sz val="11"/>
      <color theme="1"/>
      <name val="Calibri"/>
      <family val="2"/>
      <scheme val="minor"/>
    </font>
    <font>
      <b/>
      <vertAlign val="subscript"/>
      <sz val="11"/>
      <color theme="1"/>
      <name val="Calibri"/>
      <family val="2"/>
      <scheme val="minor"/>
    </font>
    <font>
      <sz val="10"/>
      <name val="Arial"/>
      <family val="2"/>
    </font>
    <font>
      <i/>
      <sz val="14"/>
      <color theme="1"/>
      <name val="Calibri"/>
      <family val="2"/>
      <scheme val="minor"/>
    </font>
    <font>
      <u/>
      <sz val="11"/>
      <color theme="10"/>
      <name val="Calibri"/>
      <family val="2"/>
      <scheme val="minor"/>
    </font>
    <font>
      <b/>
      <sz val="12"/>
      <color theme="0"/>
      <name val="Calibri"/>
      <family val="2"/>
      <scheme val="minor"/>
    </font>
    <font>
      <i/>
      <sz val="11"/>
      <color theme="1"/>
      <name val="Calibri"/>
      <family val="2"/>
      <scheme val="minor"/>
    </font>
    <font>
      <b/>
      <u/>
      <sz val="11"/>
      <color theme="1"/>
      <name val="Calibri"/>
      <family val="2"/>
      <scheme val="minor"/>
    </font>
    <font>
      <b/>
      <sz val="14"/>
      <color theme="9" tint="-0.249977111117893"/>
      <name val="Calibri"/>
      <family val="2"/>
      <scheme val="minor"/>
    </font>
    <font>
      <sz val="11"/>
      <color rgb="FFFF0000"/>
      <name val="Calibri"/>
      <family val="2"/>
      <scheme val="minor"/>
    </font>
    <font>
      <sz val="11"/>
      <name val="Calibri"/>
      <family val="2"/>
      <scheme val="minor"/>
    </font>
    <font>
      <sz val="14"/>
      <color theme="1"/>
      <name val="Calibri"/>
      <family val="2"/>
      <scheme val="minor"/>
    </font>
    <font>
      <b/>
      <sz val="18"/>
      <color theme="5" tint="-0.249977111117893"/>
      <name val="Calibri"/>
      <family val="2"/>
      <scheme val="minor"/>
    </font>
    <font>
      <b/>
      <sz val="18"/>
      <color rgb="FFFFC50D"/>
      <name val="Calibri"/>
      <family val="2"/>
      <scheme val="minor"/>
    </font>
    <font>
      <sz val="11"/>
      <color theme="8" tint="-0.249977111117893"/>
      <name val="Calibri"/>
      <family val="2"/>
      <scheme val="minor"/>
    </font>
    <font>
      <b/>
      <sz val="18"/>
      <color theme="8" tint="-0.249977111117893"/>
      <name val="Calibri"/>
      <family val="2"/>
      <scheme val="minor"/>
    </font>
    <font>
      <b/>
      <sz val="18"/>
      <color theme="9" tint="-0.249977111117893"/>
      <name val="Calibri"/>
      <family val="2"/>
      <scheme val="minor"/>
    </font>
    <font>
      <b/>
      <sz val="16"/>
      <color theme="5"/>
      <name val="Calibri"/>
      <family val="2"/>
      <scheme val="minor"/>
    </font>
    <font>
      <b/>
      <sz val="16"/>
      <color theme="7" tint="0.39997558519241921"/>
      <name val="Calibri"/>
      <family val="2"/>
      <scheme val="minor"/>
    </font>
    <font>
      <b/>
      <sz val="16"/>
      <color theme="8" tint="-0.249977111117893"/>
      <name val="Calibri"/>
      <family val="2"/>
      <scheme val="minor"/>
    </font>
    <font>
      <b/>
      <sz val="16"/>
      <color theme="9" tint="-0.249977111117893"/>
      <name val="Calibri"/>
      <family val="2"/>
      <scheme val="minor"/>
    </font>
    <font>
      <b/>
      <sz val="16"/>
      <color theme="0" tint="-0.499984740745262"/>
      <name val="Calibri"/>
      <family val="2"/>
      <scheme val="minor"/>
    </font>
    <font>
      <u/>
      <sz val="11"/>
      <name val="Calibri"/>
      <family val="2"/>
      <scheme val="minor"/>
    </font>
    <font>
      <b/>
      <sz val="18"/>
      <color theme="0" tint="-0.499984740745262"/>
      <name val="Calibri"/>
      <family val="2"/>
      <scheme val="minor"/>
    </font>
    <font>
      <b/>
      <sz val="16"/>
      <color rgb="FF996633"/>
      <name val="Calibri"/>
      <family val="2"/>
      <scheme val="minor"/>
    </font>
    <font>
      <b/>
      <sz val="18"/>
      <color rgb="FF996633"/>
      <name val="Calibri"/>
      <family val="2"/>
      <scheme val="minor"/>
    </font>
    <font>
      <b/>
      <sz val="14"/>
      <color theme="1"/>
      <name val="Calibri"/>
      <family val="2"/>
      <scheme val="minor"/>
    </font>
    <font>
      <b/>
      <sz val="14"/>
      <color theme="5" tint="-0.249977111117893"/>
      <name val="Calibri"/>
      <family val="2"/>
      <scheme val="minor"/>
    </font>
    <font>
      <sz val="16"/>
      <color theme="1"/>
      <name val="Calibri"/>
      <family val="2"/>
      <scheme val="minor"/>
    </font>
  </fonts>
  <fills count="2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5" tint="-0.249977111117893"/>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2"/>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rgb="FFFBAA85"/>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7" tint="0.59999389629810485"/>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5" tint="-0.24994659260841701"/>
      </left>
      <right style="thin">
        <color indexed="64"/>
      </right>
      <top style="medium">
        <color theme="5" tint="-0.24994659260841701"/>
      </top>
      <bottom style="thin">
        <color indexed="64"/>
      </bottom>
      <diagonal/>
    </border>
    <border>
      <left style="thin">
        <color indexed="64"/>
      </left>
      <right/>
      <top style="medium">
        <color theme="5" tint="-0.24994659260841701"/>
      </top>
      <bottom style="thin">
        <color indexed="64"/>
      </bottom>
      <diagonal/>
    </border>
    <border>
      <left style="thin">
        <color indexed="64"/>
      </left>
      <right style="thin">
        <color indexed="64"/>
      </right>
      <top style="medium">
        <color theme="5" tint="-0.24994659260841701"/>
      </top>
      <bottom style="thin">
        <color indexed="64"/>
      </bottom>
      <diagonal/>
    </border>
    <border>
      <left style="thin">
        <color indexed="64"/>
      </left>
      <right style="medium">
        <color theme="5" tint="-0.24994659260841701"/>
      </right>
      <top style="medium">
        <color theme="5" tint="-0.24994659260841701"/>
      </top>
      <bottom style="thin">
        <color indexed="64"/>
      </bottom>
      <diagonal/>
    </border>
    <border>
      <left style="medium">
        <color theme="5" tint="-0.24994659260841701"/>
      </left>
      <right style="thin">
        <color indexed="64"/>
      </right>
      <top style="thin">
        <color indexed="64"/>
      </top>
      <bottom style="thin">
        <color indexed="64"/>
      </bottom>
      <diagonal/>
    </border>
    <border>
      <left style="thin">
        <color indexed="64"/>
      </left>
      <right style="medium">
        <color theme="5" tint="-0.24994659260841701"/>
      </right>
      <top style="thin">
        <color indexed="64"/>
      </top>
      <bottom style="thin">
        <color indexed="64"/>
      </bottom>
      <diagonal/>
    </border>
    <border>
      <left style="medium">
        <color theme="5" tint="-0.24994659260841701"/>
      </left>
      <right style="thin">
        <color indexed="64"/>
      </right>
      <top style="thin">
        <color indexed="64"/>
      </top>
      <bottom style="medium">
        <color theme="5" tint="-0.24994659260841701"/>
      </bottom>
      <diagonal/>
    </border>
    <border>
      <left style="thin">
        <color indexed="64"/>
      </left>
      <right/>
      <top style="thin">
        <color indexed="64"/>
      </top>
      <bottom style="medium">
        <color theme="5" tint="-0.24994659260841701"/>
      </bottom>
      <diagonal/>
    </border>
    <border>
      <left style="thin">
        <color indexed="64"/>
      </left>
      <right style="thin">
        <color indexed="64"/>
      </right>
      <top style="thin">
        <color indexed="64"/>
      </top>
      <bottom style="medium">
        <color theme="5" tint="-0.24994659260841701"/>
      </bottom>
      <diagonal/>
    </border>
    <border>
      <left style="thin">
        <color indexed="64"/>
      </left>
      <right style="medium">
        <color theme="5" tint="-0.24994659260841701"/>
      </right>
      <top style="thin">
        <color indexed="64"/>
      </top>
      <bottom style="medium">
        <color theme="5" tint="-0.24994659260841701"/>
      </bottom>
      <diagonal/>
    </border>
    <border>
      <left style="medium">
        <color theme="9" tint="-0.24994659260841701"/>
      </left>
      <right style="thin">
        <color indexed="64"/>
      </right>
      <top style="medium">
        <color theme="5" tint="-0.24994659260841701"/>
      </top>
      <bottom style="thin">
        <color indexed="64"/>
      </bottom>
      <diagonal/>
    </border>
    <border>
      <left style="thin">
        <color indexed="64"/>
      </left>
      <right style="medium">
        <color theme="9" tint="-0.24994659260841701"/>
      </right>
      <top style="medium">
        <color theme="5" tint="-0.24994659260841701"/>
      </top>
      <bottom style="thin">
        <color indexed="64"/>
      </bottom>
      <diagonal/>
    </border>
    <border>
      <left style="medium">
        <color theme="9" tint="-0.24994659260841701"/>
      </left>
      <right style="thin">
        <color indexed="64"/>
      </right>
      <top style="thin">
        <color indexed="64"/>
      </top>
      <bottom style="thin">
        <color indexed="64"/>
      </bottom>
      <diagonal/>
    </border>
    <border>
      <left style="thin">
        <color indexed="64"/>
      </left>
      <right style="medium">
        <color theme="9" tint="-0.24994659260841701"/>
      </right>
      <top style="thin">
        <color indexed="64"/>
      </top>
      <bottom style="thin">
        <color indexed="64"/>
      </bottom>
      <diagonal/>
    </border>
    <border>
      <left style="medium">
        <color theme="9" tint="-0.24994659260841701"/>
      </left>
      <right style="thin">
        <color indexed="64"/>
      </right>
      <top style="thin">
        <color indexed="64"/>
      </top>
      <bottom style="medium">
        <color theme="9" tint="-0.24994659260841701"/>
      </bottom>
      <diagonal/>
    </border>
    <border>
      <left style="thin">
        <color indexed="64"/>
      </left>
      <right style="thin">
        <color indexed="64"/>
      </right>
      <top style="thin">
        <color indexed="64"/>
      </top>
      <bottom style="medium">
        <color theme="9" tint="-0.24994659260841701"/>
      </bottom>
      <diagonal/>
    </border>
    <border>
      <left style="thin">
        <color indexed="64"/>
      </left>
      <right style="medium">
        <color theme="9" tint="-0.24994659260841701"/>
      </right>
      <top style="thin">
        <color indexed="64"/>
      </top>
      <bottom style="medium">
        <color theme="9"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5" tint="-0.24994659260841701"/>
      </left>
      <right/>
      <top style="medium">
        <color theme="5" tint="-0.24994659260841701"/>
      </top>
      <bottom/>
      <diagonal/>
    </border>
    <border>
      <left/>
      <right/>
      <top style="medium">
        <color theme="5" tint="-0.24994659260841701"/>
      </top>
      <bottom/>
      <diagonal/>
    </border>
    <border>
      <left/>
      <right style="medium">
        <color theme="5" tint="-0.24994659260841701"/>
      </right>
      <top style="medium">
        <color theme="5" tint="-0.24994659260841701"/>
      </top>
      <bottom/>
      <diagonal/>
    </border>
    <border>
      <left style="medium">
        <color theme="5" tint="-0.24994659260841701"/>
      </left>
      <right/>
      <top/>
      <bottom/>
      <diagonal/>
    </border>
    <border>
      <left/>
      <right style="medium">
        <color theme="5" tint="-0.24994659260841701"/>
      </right>
      <top/>
      <bottom/>
      <diagonal/>
    </border>
    <border>
      <left style="medium">
        <color theme="5" tint="-0.24994659260841701"/>
      </left>
      <right/>
      <top/>
      <bottom style="medium">
        <color theme="5" tint="-0.24994659260841701"/>
      </bottom>
      <diagonal/>
    </border>
    <border>
      <left/>
      <right/>
      <top/>
      <bottom style="medium">
        <color theme="5" tint="-0.24994659260841701"/>
      </bottom>
      <diagonal/>
    </border>
    <border>
      <left/>
      <right style="medium">
        <color theme="5" tint="-0.24994659260841701"/>
      </right>
      <top/>
      <bottom style="medium">
        <color theme="5" tint="-0.24994659260841701"/>
      </bottom>
      <diagonal/>
    </border>
    <border>
      <left style="medium">
        <color theme="9" tint="-0.24994659260841701"/>
      </left>
      <right/>
      <top style="medium">
        <color theme="9" tint="-0.24994659260841701"/>
      </top>
      <bottom/>
      <diagonal/>
    </border>
    <border>
      <left/>
      <right style="medium">
        <color theme="9" tint="-0.24994659260841701"/>
      </right>
      <top style="medium">
        <color theme="9" tint="-0.24994659260841701"/>
      </top>
      <bottom/>
      <diagonal/>
    </border>
    <border>
      <left style="medium">
        <color theme="9" tint="-0.24994659260841701"/>
      </left>
      <right/>
      <top/>
      <bottom/>
      <diagonal/>
    </border>
    <border>
      <left/>
      <right style="medium">
        <color theme="9" tint="-0.24994659260841701"/>
      </right>
      <top/>
      <bottom/>
      <diagonal/>
    </border>
    <border>
      <left style="medium">
        <color theme="9" tint="-0.24994659260841701"/>
      </left>
      <right/>
      <top/>
      <bottom style="medium">
        <color theme="9" tint="-0.24994659260841701"/>
      </bottom>
      <diagonal/>
    </border>
    <border>
      <left/>
      <right style="medium">
        <color theme="9" tint="-0.24994659260841701"/>
      </right>
      <top/>
      <bottom style="medium">
        <color theme="9" tint="-0.24994659260841701"/>
      </bottom>
      <diagonal/>
    </border>
    <border>
      <left/>
      <right/>
      <top style="medium">
        <color theme="9" tint="-0.24994659260841701"/>
      </top>
      <bottom/>
      <diagonal/>
    </border>
    <border>
      <left/>
      <right/>
      <top/>
      <bottom style="medium">
        <color theme="9" tint="-0.24994659260841701"/>
      </bottom>
      <diagonal/>
    </border>
    <border>
      <left style="thin">
        <color indexed="64"/>
      </left>
      <right style="thin">
        <color indexed="64"/>
      </right>
      <top/>
      <bottom style="medium">
        <color theme="5" tint="-0.24994659260841701"/>
      </bottom>
      <diagonal/>
    </border>
    <border>
      <left style="thin">
        <color indexed="64"/>
      </left>
      <right/>
      <top style="thin">
        <color indexed="64"/>
      </top>
      <bottom style="medium">
        <color theme="9" tint="-0.24994659260841701"/>
      </bottom>
      <diagonal/>
    </border>
    <border>
      <left/>
      <right style="thin">
        <color indexed="64"/>
      </right>
      <top style="medium">
        <color theme="9" tint="-0.24994659260841701"/>
      </top>
      <bottom/>
      <diagonal/>
    </border>
    <border>
      <left style="thin">
        <color indexed="64"/>
      </left>
      <right style="medium">
        <color theme="9" tint="-0.24994659260841701"/>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right/>
      <top style="medium">
        <color indexed="64"/>
      </top>
      <bottom style="medium">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6" fillId="0" borderId="0"/>
    <xf numFmtId="0" fontId="6" fillId="0" borderId="0"/>
    <xf numFmtId="0" fontId="8" fillId="0" borderId="0" applyNumberFormat="0" applyFill="0" applyBorder="0" applyAlignment="0" applyProtection="0"/>
  </cellStyleXfs>
  <cellXfs count="607">
    <xf numFmtId="0" fontId="0" fillId="0" borderId="0" xfId="0"/>
    <xf numFmtId="0" fontId="0" fillId="2" borderId="0" xfId="0" applyFill="1"/>
    <xf numFmtId="0" fontId="0" fillId="2" borderId="0" xfId="0" applyFill="1" applyAlignment="1">
      <alignment horizontal="left" indent="1"/>
    </xf>
    <xf numFmtId="165" fontId="0" fillId="2" borderId="0" xfId="0" applyNumberFormat="1" applyFill="1"/>
    <xf numFmtId="165" fontId="0" fillId="2" borderId="0" xfId="0" applyNumberFormat="1" applyFill="1" applyBorder="1"/>
    <xf numFmtId="165" fontId="0" fillId="2" borderId="6" xfId="0" applyNumberFormat="1" applyFill="1" applyBorder="1"/>
    <xf numFmtId="165" fontId="0" fillId="2" borderId="8" xfId="0" applyNumberFormat="1" applyFill="1" applyBorder="1"/>
    <xf numFmtId="0" fontId="3" fillId="4" borderId="10" xfId="0" applyFont="1" applyFill="1" applyBorder="1"/>
    <xf numFmtId="165" fontId="3" fillId="4" borderId="11" xfId="0" applyNumberFormat="1" applyFont="1" applyFill="1" applyBorder="1"/>
    <xf numFmtId="0" fontId="0" fillId="2" borderId="0" xfId="0" applyFill="1" applyBorder="1"/>
    <xf numFmtId="0" fontId="0" fillId="2" borderId="8" xfId="0" applyFill="1" applyBorder="1"/>
    <xf numFmtId="0" fontId="3" fillId="4" borderId="11" xfId="0" applyFont="1" applyFill="1" applyBorder="1"/>
    <xf numFmtId="0" fontId="0" fillId="2" borderId="3" xfId="0" applyFill="1" applyBorder="1"/>
    <xf numFmtId="0" fontId="0" fillId="2" borderId="0" xfId="0" applyFill="1" applyBorder="1" applyAlignment="1">
      <alignment horizontal="left" indent="1"/>
    </xf>
    <xf numFmtId="0" fontId="3" fillId="2" borderId="0" xfId="0" applyFont="1" applyFill="1" applyBorder="1"/>
    <xf numFmtId="0" fontId="0" fillId="2" borderId="11" xfId="0" applyFill="1" applyBorder="1"/>
    <xf numFmtId="0" fontId="3" fillId="5" borderId="10" xfId="0" applyFont="1" applyFill="1" applyBorder="1"/>
    <xf numFmtId="165" fontId="3" fillId="5" borderId="11" xfId="0" applyNumberFormat="1" applyFont="1" applyFill="1" applyBorder="1"/>
    <xf numFmtId="165" fontId="0" fillId="2" borderId="3" xfId="0" applyNumberFormat="1" applyFill="1" applyBorder="1"/>
    <xf numFmtId="165" fontId="0" fillId="2" borderId="4" xfId="0" applyNumberFormat="1" applyFill="1" applyBorder="1"/>
    <xf numFmtId="0" fontId="0" fillId="2" borderId="14" xfId="0" applyFill="1" applyBorder="1" applyAlignment="1">
      <alignment horizontal="center"/>
    </xf>
    <xf numFmtId="0" fontId="0" fillId="2" borderId="14" xfId="0" applyFill="1" applyBorder="1"/>
    <xf numFmtId="166" fontId="0" fillId="7" borderId="0" xfId="1" applyNumberFormat="1" applyFont="1" applyFill="1" applyBorder="1"/>
    <xf numFmtId="0" fontId="2" fillId="2" borderId="0" xfId="0" applyFont="1" applyFill="1" applyBorder="1"/>
    <xf numFmtId="0" fontId="0" fillId="2" borderId="6" xfId="0" applyFill="1" applyBorder="1"/>
    <xf numFmtId="0" fontId="0" fillId="2" borderId="9" xfId="0" applyFill="1" applyBorder="1"/>
    <xf numFmtId="166" fontId="0" fillId="2" borderId="0" xfId="0" applyNumberFormat="1" applyFill="1"/>
    <xf numFmtId="0" fontId="0" fillId="2" borderId="0" xfId="0" applyFill="1" applyAlignment="1">
      <alignment horizontal="center" vertical="center"/>
    </xf>
    <xf numFmtId="0" fontId="0" fillId="2" borderId="0" xfId="0" applyFill="1" applyBorder="1" applyAlignment="1">
      <alignment horizontal="center"/>
    </xf>
    <xf numFmtId="166" fontId="0" fillId="2" borderId="3" xfId="1" applyNumberFormat="1" applyFont="1" applyFill="1" applyBorder="1"/>
    <xf numFmtId="166" fontId="0" fillId="2" borderId="0" xfId="1" applyNumberFormat="1" applyFont="1" applyFill="1" applyBorder="1"/>
    <xf numFmtId="166" fontId="3" fillId="2" borderId="0" xfId="1" applyNumberFormat="1" applyFont="1" applyFill="1" applyBorder="1"/>
    <xf numFmtId="166" fontId="3" fillId="2" borderId="0" xfId="1" applyNumberFormat="1" applyFont="1" applyFill="1" applyBorder="1" applyAlignment="1">
      <alignment horizontal="right"/>
    </xf>
    <xf numFmtId="9" fontId="3" fillId="2" borderId="0" xfId="2" applyFont="1" applyFill="1" applyBorder="1" applyAlignment="1">
      <alignment horizontal="right"/>
    </xf>
    <xf numFmtId="0" fontId="3" fillId="2" borderId="0" xfId="0" applyFont="1" applyFill="1" applyBorder="1" applyAlignment="1">
      <alignment horizontal="left" indent="1"/>
    </xf>
    <xf numFmtId="2" fontId="0" fillId="2" borderId="0" xfId="0" applyNumberFormat="1" applyFill="1" applyBorder="1"/>
    <xf numFmtId="0" fontId="0" fillId="2" borderId="0" xfId="0" applyFont="1" applyFill="1" applyBorder="1"/>
    <xf numFmtId="0" fontId="0" fillId="2" borderId="0" xfId="0" applyFont="1" applyFill="1"/>
    <xf numFmtId="0" fontId="0" fillId="2" borderId="0" xfId="0" applyFill="1" applyAlignment="1">
      <alignment vertical="top"/>
    </xf>
    <xf numFmtId="165" fontId="3" fillId="2" borderId="0" xfId="0" applyNumberFormat="1" applyFont="1" applyFill="1" applyBorder="1" applyAlignment="1">
      <alignment vertical="top"/>
    </xf>
    <xf numFmtId="0" fontId="0" fillId="2" borderId="0" xfId="0" applyFill="1" applyBorder="1" applyAlignment="1">
      <alignment vertical="top"/>
    </xf>
    <xf numFmtId="9" fontId="0" fillId="2" borderId="0" xfId="2" applyFont="1" applyFill="1" applyBorder="1"/>
    <xf numFmtId="1" fontId="0" fillId="2" borderId="8" xfId="0" applyNumberFormat="1" applyFill="1" applyBorder="1"/>
    <xf numFmtId="166" fontId="0" fillId="2" borderId="8" xfId="1" applyNumberFormat="1" applyFont="1" applyFill="1" applyBorder="1"/>
    <xf numFmtId="166" fontId="3" fillId="8" borderId="1" xfId="1" applyNumberFormat="1" applyFont="1" applyFill="1" applyBorder="1"/>
    <xf numFmtId="9" fontId="3" fillId="8" borderId="1" xfId="2" applyFont="1" applyFill="1" applyBorder="1"/>
    <xf numFmtId="2" fontId="3" fillId="8" borderId="1" xfId="0" applyNumberFormat="1" applyFont="1" applyFill="1" applyBorder="1"/>
    <xf numFmtId="0" fontId="0" fillId="2" borderId="1" xfId="0" applyFill="1" applyBorder="1" applyAlignment="1">
      <alignment horizontal="left" indent="2"/>
    </xf>
    <xf numFmtId="1" fontId="0" fillId="2" borderId="1" xfId="0" applyNumberFormat="1" applyFill="1" applyBorder="1"/>
    <xf numFmtId="166" fontId="0" fillId="2" borderId="1" xfId="1" applyNumberFormat="1" applyFont="1" applyFill="1" applyBorder="1"/>
    <xf numFmtId="1" fontId="0" fillId="2" borderId="12" xfId="0" applyNumberFormat="1" applyFill="1" applyBorder="1"/>
    <xf numFmtId="9" fontId="3" fillId="8" borderId="14" xfId="2" applyFont="1" applyFill="1" applyBorder="1"/>
    <xf numFmtId="165" fontId="0" fillId="2" borderId="5" xfId="0" applyNumberFormat="1" applyFill="1" applyBorder="1"/>
    <xf numFmtId="166" fontId="0" fillId="2" borderId="14" xfId="1" applyNumberFormat="1" applyFont="1" applyFill="1" applyBorder="1"/>
    <xf numFmtId="166" fontId="3" fillId="8" borderId="14" xfId="1" applyNumberFormat="1" applyFont="1" applyFill="1" applyBorder="1"/>
    <xf numFmtId="9" fontId="0" fillId="2" borderId="15" xfId="2" applyFont="1" applyFill="1" applyBorder="1"/>
    <xf numFmtId="9" fontId="0" fillId="2" borderId="1" xfId="2" applyFont="1" applyFill="1" applyBorder="1"/>
    <xf numFmtId="0" fontId="0" fillId="9" borderId="1" xfId="0" applyFill="1" applyBorder="1" applyAlignment="1">
      <alignment horizontal="left" indent="1"/>
    </xf>
    <xf numFmtId="166" fontId="3" fillId="5" borderId="11" xfId="1" applyNumberFormat="1" applyFont="1" applyFill="1" applyBorder="1"/>
    <xf numFmtId="2" fontId="0" fillId="2" borderId="1" xfId="0" applyNumberFormat="1" applyFill="1" applyBorder="1"/>
    <xf numFmtId="166" fontId="0" fillId="2" borderId="1" xfId="0" applyNumberFormat="1" applyFill="1" applyBorder="1"/>
    <xf numFmtId="166" fontId="0" fillId="8" borderId="1" xfId="1" applyNumberFormat="1" applyFont="1" applyFill="1" applyBorder="1"/>
    <xf numFmtId="165" fontId="0" fillId="8" borderId="1" xfId="0" applyNumberFormat="1" applyFill="1" applyBorder="1"/>
    <xf numFmtId="0" fontId="0" fillId="8" borderId="1" xfId="0" applyFill="1" applyBorder="1"/>
    <xf numFmtId="2" fontId="0" fillId="8" borderId="1" xfId="0" applyNumberFormat="1" applyFill="1" applyBorder="1"/>
    <xf numFmtId="166" fontId="0" fillId="8" borderId="1" xfId="0" applyNumberFormat="1" applyFill="1" applyBorder="1"/>
    <xf numFmtId="166" fontId="0" fillId="2" borderId="2" xfId="1" applyNumberFormat="1" applyFont="1" applyFill="1" applyBorder="1"/>
    <xf numFmtId="166" fontId="0" fillId="2" borderId="4" xfId="0" applyNumberFormat="1" applyFill="1" applyBorder="1"/>
    <xf numFmtId="166" fontId="0" fillId="2" borderId="5" xfId="1" applyNumberFormat="1" applyFont="1" applyFill="1" applyBorder="1"/>
    <xf numFmtId="166" fontId="0" fillId="2" borderId="6" xfId="0" applyNumberFormat="1" applyFill="1" applyBorder="1"/>
    <xf numFmtId="166" fontId="0" fillId="2" borderId="7" xfId="1" applyNumberFormat="1" applyFont="1" applyFill="1" applyBorder="1"/>
    <xf numFmtId="166" fontId="0" fillId="2" borderId="9" xfId="0" applyNumberFormat="1" applyFill="1" applyBorder="1"/>
    <xf numFmtId="2" fontId="0" fillId="2" borderId="3" xfId="0" applyNumberFormat="1" applyFill="1" applyBorder="1"/>
    <xf numFmtId="2" fontId="0" fillId="2" borderId="8" xfId="0" applyNumberFormat="1" applyFill="1" applyBorder="1"/>
    <xf numFmtId="166" fontId="3" fillId="5" borderId="12" xfId="1" applyNumberFormat="1" applyFont="1" applyFill="1" applyBorder="1"/>
    <xf numFmtId="0" fontId="3" fillId="8" borderId="7" xfId="0" applyFont="1" applyFill="1" applyBorder="1" applyAlignment="1">
      <alignment horizontal="left" indent="1"/>
    </xf>
    <xf numFmtId="0" fontId="0" fillId="2" borderId="10" xfId="0" applyFill="1" applyBorder="1" applyAlignment="1">
      <alignment horizontal="left" indent="2"/>
    </xf>
    <xf numFmtId="0" fontId="3" fillId="8" borderId="10" xfId="0" applyFont="1" applyFill="1" applyBorder="1" applyAlignment="1">
      <alignment horizontal="left" indent="1"/>
    </xf>
    <xf numFmtId="166" fontId="0" fillId="9" borderId="1" xfId="1" applyNumberFormat="1" applyFont="1" applyFill="1" applyBorder="1"/>
    <xf numFmtId="165" fontId="3" fillId="10" borderId="1" xfId="0" applyNumberFormat="1" applyFont="1" applyFill="1" applyBorder="1" applyAlignment="1">
      <alignment horizontal="center" wrapText="1"/>
    </xf>
    <xf numFmtId="0" fontId="3" fillId="10" borderId="1" xfId="0" applyFont="1" applyFill="1" applyBorder="1" applyAlignment="1">
      <alignment horizontal="center" wrapText="1"/>
    </xf>
    <xf numFmtId="0" fontId="3" fillId="10" borderId="1" xfId="0" applyFont="1" applyFill="1" applyBorder="1" applyAlignment="1">
      <alignment wrapText="1"/>
    </xf>
    <xf numFmtId="0" fontId="3" fillId="4" borderId="1" xfId="0" applyFont="1" applyFill="1" applyBorder="1"/>
    <xf numFmtId="166" fontId="3" fillId="4" borderId="1" xfId="1" applyNumberFormat="1" applyFont="1" applyFill="1" applyBorder="1"/>
    <xf numFmtId="0" fontId="3" fillId="10" borderId="1" xfId="0" applyFont="1" applyFill="1" applyBorder="1" applyAlignment="1">
      <alignment horizontal="left" wrapText="1" indent="1"/>
    </xf>
    <xf numFmtId="166" fontId="3" fillId="4" borderId="12" xfId="1" applyNumberFormat="1" applyFont="1" applyFill="1" applyBorder="1"/>
    <xf numFmtId="0" fontId="3" fillId="10" borderId="2" xfId="0" applyFont="1" applyFill="1" applyBorder="1"/>
    <xf numFmtId="166" fontId="3" fillId="10" borderId="4" xfId="1" applyNumberFormat="1" applyFont="1" applyFill="1" applyBorder="1" applyAlignment="1">
      <alignment horizontal="right"/>
    </xf>
    <xf numFmtId="0" fontId="0" fillId="10" borderId="5" xfId="0" applyFont="1" applyFill="1" applyBorder="1" applyAlignment="1">
      <alignment horizontal="left" indent="1"/>
    </xf>
    <xf numFmtId="0" fontId="0" fillId="10" borderId="7" xfId="0" applyFont="1" applyFill="1" applyBorder="1" applyAlignment="1">
      <alignment horizontal="left" indent="1"/>
    </xf>
    <xf numFmtId="166" fontId="1" fillId="10" borderId="6" xfId="1" applyNumberFormat="1" applyFont="1" applyFill="1" applyBorder="1" applyAlignment="1">
      <alignment horizontal="right"/>
    </xf>
    <xf numFmtId="9" fontId="1" fillId="10" borderId="6" xfId="2" applyFont="1" applyFill="1" applyBorder="1" applyAlignment="1">
      <alignment horizontal="right"/>
    </xf>
    <xf numFmtId="9" fontId="1" fillId="10" borderId="9" xfId="2" applyFont="1" applyFill="1" applyBorder="1" applyAlignment="1">
      <alignment horizontal="right"/>
    </xf>
    <xf numFmtId="0" fontId="0" fillId="2" borderId="0" xfId="0" applyFont="1" applyFill="1" applyBorder="1" applyAlignment="1">
      <alignment horizontal="left" indent="1"/>
    </xf>
    <xf numFmtId="9" fontId="1" fillId="2" borderId="0" xfId="2" applyFont="1" applyFill="1" applyBorder="1" applyAlignment="1">
      <alignment horizontal="right"/>
    </xf>
    <xf numFmtId="164" fontId="1" fillId="2" borderId="0" xfId="1" applyFont="1" applyFill="1" applyBorder="1" applyAlignment="1">
      <alignment horizontal="right"/>
    </xf>
    <xf numFmtId="0" fontId="0" fillId="11" borderId="16" xfId="0" applyFont="1" applyFill="1" applyBorder="1" applyAlignment="1">
      <alignment horizontal="left" indent="1"/>
    </xf>
    <xf numFmtId="164" fontId="1" fillId="11" borderId="17" xfId="1" applyFont="1" applyFill="1" applyBorder="1" applyAlignment="1">
      <alignment horizontal="right"/>
    </xf>
    <xf numFmtId="166" fontId="1" fillId="2" borderId="0" xfId="1" applyNumberFormat="1" applyFont="1" applyFill="1" applyBorder="1" applyAlignment="1">
      <alignment horizontal="right"/>
    </xf>
    <xf numFmtId="165" fontId="3" fillId="2" borderId="0" xfId="0" applyNumberFormat="1" applyFont="1" applyFill="1" applyBorder="1" applyAlignment="1">
      <alignment horizontal="center" wrapText="1"/>
    </xf>
    <xf numFmtId="9" fontId="0" fillId="2" borderId="13" xfId="2" applyFont="1" applyFill="1" applyBorder="1"/>
    <xf numFmtId="166" fontId="3" fillId="8" borderId="1" xfId="0" applyNumberFormat="1" applyFont="1" applyFill="1" applyBorder="1"/>
    <xf numFmtId="2" fontId="0" fillId="2" borderId="14" xfId="0" applyNumberFormat="1" applyFill="1" applyBorder="1"/>
    <xf numFmtId="166" fontId="0" fillId="2" borderId="14" xfId="0" applyNumberFormat="1" applyFill="1" applyBorder="1"/>
    <xf numFmtId="9" fontId="0" fillId="2" borderId="8" xfId="2" applyFont="1" applyFill="1" applyBorder="1"/>
    <xf numFmtId="1" fontId="0" fillId="2" borderId="3" xfId="0" applyNumberFormat="1" applyFill="1" applyBorder="1"/>
    <xf numFmtId="1" fontId="3" fillId="8" borderId="9" xfId="0" applyNumberFormat="1" applyFont="1" applyFill="1" applyBorder="1"/>
    <xf numFmtId="1" fontId="3" fillId="8" borderId="12" xfId="0" applyNumberFormat="1" applyFont="1" applyFill="1" applyBorder="1"/>
    <xf numFmtId="0" fontId="0" fillId="2" borderId="10" xfId="0" applyFill="1" applyBorder="1" applyAlignment="1">
      <alignment horizontal="center"/>
    </xf>
    <xf numFmtId="0" fontId="0" fillId="2" borderId="7" xfId="0" applyFill="1" applyBorder="1" applyAlignment="1">
      <alignment horizontal="center"/>
    </xf>
    <xf numFmtId="0" fontId="0" fillId="2" borderId="1" xfId="0" applyFill="1" applyBorder="1" applyAlignment="1">
      <alignment horizontal="center"/>
    </xf>
    <xf numFmtId="166" fontId="0" fillId="2" borderId="15" xfId="1" applyNumberFormat="1" applyFont="1" applyFill="1" applyBorder="1"/>
    <xf numFmtId="0" fontId="0" fillId="2" borderId="1" xfId="0" applyFill="1" applyBorder="1"/>
    <xf numFmtId="0" fontId="0" fillId="2" borderId="0" xfId="0" applyFill="1" applyBorder="1" applyAlignment="1">
      <alignment horizontal="left" indent="2"/>
    </xf>
    <xf numFmtId="166" fontId="0" fillId="2" borderId="0" xfId="1" applyNumberFormat="1" applyFont="1" applyFill="1"/>
    <xf numFmtId="166" fontId="0" fillId="2" borderId="15" xfId="1" applyNumberFormat="1" applyFont="1" applyFill="1" applyBorder="1" applyAlignment="1">
      <alignment horizontal="center" vertical="center"/>
    </xf>
    <xf numFmtId="166" fontId="0" fillId="2" borderId="14" xfId="1" applyNumberFormat="1" applyFont="1" applyFill="1" applyBorder="1" applyAlignment="1">
      <alignment horizontal="center" vertical="center"/>
    </xf>
    <xf numFmtId="0" fontId="0" fillId="2" borderId="18" xfId="0" applyFill="1" applyBorder="1"/>
    <xf numFmtId="0" fontId="0" fillId="2" borderId="19" xfId="0" applyFill="1" applyBorder="1" applyAlignment="1">
      <alignment horizontal="left" indent="2"/>
    </xf>
    <xf numFmtId="0" fontId="0" fillId="2" borderId="19" xfId="0" applyFill="1" applyBorder="1" applyAlignment="1">
      <alignment horizontal="center"/>
    </xf>
    <xf numFmtId="166" fontId="0" fillId="2" borderId="20" xfId="1" applyNumberFormat="1" applyFont="1" applyFill="1" applyBorder="1"/>
    <xf numFmtId="0" fontId="0" fillId="2" borderId="20" xfId="0" applyFill="1" applyBorder="1" applyAlignment="1">
      <alignment horizontal="center"/>
    </xf>
    <xf numFmtId="0" fontId="0" fillId="2" borderId="22" xfId="0" applyFill="1" applyBorder="1"/>
    <xf numFmtId="0" fontId="0" fillId="2" borderId="24" xfId="0" applyFill="1" applyBorder="1"/>
    <xf numFmtId="0" fontId="0" fillId="2" borderId="25" xfId="0" applyFill="1" applyBorder="1" applyAlignment="1">
      <alignment horizontal="left" indent="2"/>
    </xf>
    <xf numFmtId="0" fontId="0" fillId="2" borderId="25" xfId="0" applyFill="1" applyBorder="1" applyAlignment="1">
      <alignment horizontal="center"/>
    </xf>
    <xf numFmtId="166" fontId="0" fillId="2" borderId="26" xfId="1" applyNumberFormat="1" applyFont="1" applyFill="1" applyBorder="1"/>
    <xf numFmtId="0" fontId="0" fillId="2" borderId="26" xfId="0" applyFill="1" applyBorder="1" applyAlignment="1">
      <alignment horizontal="center"/>
    </xf>
    <xf numFmtId="0" fontId="0" fillId="2" borderId="28" xfId="0" applyFill="1" applyBorder="1"/>
    <xf numFmtId="0" fontId="0" fillId="2" borderId="30" xfId="0" applyFill="1" applyBorder="1"/>
    <xf numFmtId="0" fontId="0" fillId="2" borderId="32" xfId="0" applyFill="1" applyBorder="1"/>
    <xf numFmtId="0" fontId="0" fillId="2" borderId="33" xfId="0" applyFill="1" applyBorder="1" applyAlignment="1">
      <alignment horizontal="left" indent="2"/>
    </xf>
    <xf numFmtId="0" fontId="0" fillId="2" borderId="33" xfId="0" applyFill="1" applyBorder="1" applyAlignment="1">
      <alignment horizontal="center"/>
    </xf>
    <xf numFmtId="166" fontId="0" fillId="2" borderId="33" xfId="1" applyNumberFormat="1" applyFont="1" applyFill="1" applyBorder="1"/>
    <xf numFmtId="0" fontId="0" fillId="2" borderId="12" xfId="0" applyFill="1" applyBorder="1"/>
    <xf numFmtId="0" fontId="0" fillId="2" borderId="5" xfId="0" applyFill="1" applyBorder="1" applyAlignment="1">
      <alignment vertical="center"/>
    </xf>
    <xf numFmtId="0" fontId="0" fillId="10" borderId="37" xfId="0" applyFill="1" applyBorder="1"/>
    <xf numFmtId="166" fontId="0" fillId="10" borderId="0" xfId="0" applyNumberFormat="1" applyFill="1" applyBorder="1" applyAlignment="1">
      <alignment vertical="top"/>
    </xf>
    <xf numFmtId="0" fontId="0" fillId="10" borderId="39" xfId="0" applyFill="1" applyBorder="1" applyAlignment="1">
      <alignment vertical="top"/>
    </xf>
    <xf numFmtId="0" fontId="0" fillId="10" borderId="0" xfId="0" applyFill="1" applyBorder="1"/>
    <xf numFmtId="166" fontId="0" fillId="10" borderId="0" xfId="1" applyNumberFormat="1" applyFont="1" applyFill="1" applyBorder="1"/>
    <xf numFmtId="0" fontId="0" fillId="10" borderId="39" xfId="0" applyFill="1" applyBorder="1"/>
    <xf numFmtId="166" fontId="0" fillId="10" borderId="0" xfId="0" applyNumberFormat="1" applyFill="1" applyBorder="1"/>
    <xf numFmtId="166" fontId="3" fillId="10" borderId="41" xfId="0" applyNumberFormat="1" applyFont="1" applyFill="1" applyBorder="1" applyAlignment="1">
      <alignment vertical="top"/>
    </xf>
    <xf numFmtId="0" fontId="3" fillId="10" borderId="42" xfId="0" applyFont="1" applyFill="1" applyBorder="1" applyAlignment="1">
      <alignment vertical="top"/>
    </xf>
    <xf numFmtId="166" fontId="3" fillId="10" borderId="0" xfId="0" applyNumberFormat="1" applyFont="1" applyFill="1" applyBorder="1" applyAlignment="1">
      <alignment vertical="top"/>
    </xf>
    <xf numFmtId="0" fontId="3" fillId="10" borderId="39" xfId="0" applyFont="1" applyFill="1" applyBorder="1" applyAlignment="1">
      <alignment vertical="top"/>
    </xf>
    <xf numFmtId="0" fontId="0" fillId="2" borderId="12" xfId="0" applyFill="1" applyBorder="1" applyAlignment="1">
      <alignment horizontal="center"/>
    </xf>
    <xf numFmtId="164" fontId="0" fillId="2" borderId="0" xfId="0" applyNumberFormat="1" applyFill="1"/>
    <xf numFmtId="2" fontId="0" fillId="2" borderId="0" xfId="0" applyNumberFormat="1" applyFill="1"/>
    <xf numFmtId="0" fontId="0" fillId="7" borderId="0" xfId="0" applyFill="1" applyBorder="1"/>
    <xf numFmtId="0" fontId="0" fillId="7" borderId="0" xfId="0" applyFont="1" applyFill="1" applyBorder="1" applyAlignment="1">
      <alignment horizontal="left"/>
    </xf>
    <xf numFmtId="0" fontId="0" fillId="12" borderId="0" xfId="0" applyFill="1" applyBorder="1"/>
    <xf numFmtId="0" fontId="0" fillId="10" borderId="36" xfId="0" applyFill="1" applyBorder="1"/>
    <xf numFmtId="0" fontId="0" fillId="10" borderId="41" xfId="0" applyFill="1" applyBorder="1"/>
    <xf numFmtId="0" fontId="0" fillId="10" borderId="42" xfId="0" applyFill="1" applyBorder="1"/>
    <xf numFmtId="0" fontId="3" fillId="10" borderId="35" xfId="0" applyFont="1" applyFill="1" applyBorder="1"/>
    <xf numFmtId="0" fontId="0" fillId="10" borderId="38" xfId="0" applyFill="1" applyBorder="1" applyAlignment="1">
      <alignment horizontal="left" indent="1"/>
    </xf>
    <xf numFmtId="0" fontId="0" fillId="10" borderId="40" xfId="0" applyFill="1" applyBorder="1" applyAlignment="1">
      <alignment horizontal="left" indent="1"/>
    </xf>
    <xf numFmtId="0" fontId="3" fillId="10" borderId="38" xfId="0" applyFont="1" applyFill="1" applyBorder="1"/>
    <xf numFmtId="0" fontId="3" fillId="12" borderId="0" xfId="0" applyFont="1" applyFill="1" applyBorder="1"/>
    <xf numFmtId="164" fontId="0" fillId="7" borderId="0" xfId="0" applyNumberFormat="1" applyFill="1" applyBorder="1"/>
    <xf numFmtId="0" fontId="0" fillId="7" borderId="46" xfId="0" applyFill="1" applyBorder="1"/>
    <xf numFmtId="166" fontId="0" fillId="7" borderId="47" xfId="1" applyNumberFormat="1" applyFont="1" applyFill="1" applyBorder="1"/>
    <xf numFmtId="164" fontId="0" fillId="7" borderId="47" xfId="0" applyNumberFormat="1" applyFill="1" applyBorder="1"/>
    <xf numFmtId="0" fontId="3" fillId="12" borderId="46" xfId="0" applyFont="1" applyFill="1" applyBorder="1"/>
    <xf numFmtId="164" fontId="3" fillId="12" borderId="47" xfId="0" applyNumberFormat="1" applyFont="1" applyFill="1" applyBorder="1"/>
    <xf numFmtId="0" fontId="3" fillId="12" borderId="48" xfId="0" applyFont="1" applyFill="1" applyBorder="1"/>
    <xf numFmtId="0" fontId="3" fillId="12" borderId="49" xfId="0" applyFont="1" applyFill="1" applyBorder="1"/>
    <xf numFmtId="0" fontId="0" fillId="12" borderId="49" xfId="0" applyFill="1" applyBorder="1"/>
    <xf numFmtId="164" fontId="3" fillId="12" borderId="50" xfId="0" applyNumberFormat="1" applyFont="1" applyFill="1" applyBorder="1"/>
    <xf numFmtId="0" fontId="9" fillId="6" borderId="43" xfId="0" applyFont="1" applyFill="1" applyBorder="1"/>
    <xf numFmtId="0" fontId="9" fillId="6" borderId="44" xfId="0" applyFont="1" applyFill="1" applyBorder="1"/>
    <xf numFmtId="0" fontId="9" fillId="6" borderId="45" xfId="0" applyFont="1" applyFill="1" applyBorder="1"/>
    <xf numFmtId="165" fontId="0" fillId="10" borderId="4" xfId="0" applyNumberFormat="1" applyFont="1" applyFill="1" applyBorder="1"/>
    <xf numFmtId="165" fontId="0" fillId="10" borderId="6" xfId="0" applyNumberFormat="1" applyFont="1" applyFill="1" applyBorder="1"/>
    <xf numFmtId="0" fontId="0" fillId="10" borderId="6" xfId="0" applyFont="1" applyFill="1" applyBorder="1"/>
    <xf numFmtId="0" fontId="0" fillId="10" borderId="9" xfId="0" applyFont="1" applyFill="1" applyBorder="1"/>
    <xf numFmtId="1" fontId="0" fillId="10" borderId="5" xfId="0" applyNumberFormat="1" applyFont="1" applyFill="1" applyBorder="1" applyAlignment="1">
      <alignment horizontal="left" vertical="center" wrapText="1" indent="1"/>
    </xf>
    <xf numFmtId="1" fontId="0" fillId="10" borderId="7" xfId="0" applyNumberFormat="1" applyFont="1" applyFill="1" applyBorder="1" applyAlignment="1">
      <alignment horizontal="left" vertical="center" wrapText="1" indent="1"/>
    </xf>
    <xf numFmtId="164" fontId="0" fillId="2" borderId="0" xfId="1" applyFont="1" applyFill="1" applyBorder="1"/>
    <xf numFmtId="164" fontId="0" fillId="2" borderId="8" xfId="1" applyFont="1" applyFill="1" applyBorder="1"/>
    <xf numFmtId="165" fontId="0" fillId="2" borderId="1" xfId="0" applyNumberFormat="1" applyFill="1" applyBorder="1"/>
    <xf numFmtId="0" fontId="0" fillId="14" borderId="16" xfId="0" applyFont="1" applyFill="1" applyBorder="1" applyAlignment="1">
      <alignment horizontal="left" indent="1"/>
    </xf>
    <xf numFmtId="164" fontId="1" fillId="14" borderId="17" xfId="1" applyFont="1" applyFill="1" applyBorder="1" applyAlignment="1">
      <alignment horizontal="right"/>
    </xf>
    <xf numFmtId="0" fontId="3" fillId="3" borderId="10" xfId="0" applyFont="1" applyFill="1" applyBorder="1"/>
    <xf numFmtId="166" fontId="3" fillId="3" borderId="11" xfId="1" applyNumberFormat="1" applyFont="1" applyFill="1" applyBorder="1"/>
    <xf numFmtId="165" fontId="3" fillId="3" borderId="11" xfId="0" applyNumberFormat="1" applyFont="1" applyFill="1" applyBorder="1"/>
    <xf numFmtId="166" fontId="3" fillId="3" borderId="12" xfId="1" applyNumberFormat="1" applyFont="1" applyFill="1" applyBorder="1"/>
    <xf numFmtId="0" fontId="3" fillId="3" borderId="5" xfId="0" applyFont="1" applyFill="1" applyBorder="1" applyAlignment="1">
      <alignment horizontal="center" vertical="center" wrapText="1"/>
    </xf>
    <xf numFmtId="166" fontId="3" fillId="3" borderId="9" xfId="1" applyNumberFormat="1" applyFont="1" applyFill="1" applyBorder="1"/>
    <xf numFmtId="0" fontId="3" fillId="15" borderId="1" xfId="0" applyFont="1" applyFill="1" applyBorder="1" applyAlignment="1">
      <alignment vertical="center" wrapText="1"/>
    </xf>
    <xf numFmtId="165" fontId="3" fillId="15" borderId="1" xfId="0" applyNumberFormat="1" applyFont="1" applyFill="1" applyBorder="1" applyAlignment="1">
      <alignment horizontal="center" vertical="center" wrapText="1"/>
    </xf>
    <xf numFmtId="0" fontId="3" fillId="15" borderId="1" xfId="0" applyFont="1" applyFill="1" applyBorder="1" applyAlignment="1">
      <alignment horizontal="center" vertical="center" wrapText="1"/>
    </xf>
    <xf numFmtId="0" fontId="3" fillId="10" borderId="7" xfId="0" applyFont="1" applyFill="1" applyBorder="1" applyAlignment="1">
      <alignment horizontal="left" indent="1"/>
    </xf>
    <xf numFmtId="166" fontId="0" fillId="10" borderId="1" xfId="1" applyNumberFormat="1" applyFont="1" applyFill="1" applyBorder="1"/>
    <xf numFmtId="1" fontId="3" fillId="10" borderId="9" xfId="0" applyNumberFormat="1" applyFont="1" applyFill="1" applyBorder="1"/>
    <xf numFmtId="166" fontId="3" fillId="10" borderId="14" xfId="1" applyNumberFormat="1" applyFont="1" applyFill="1" applyBorder="1"/>
    <xf numFmtId="164" fontId="3" fillId="10" borderId="14" xfId="1" applyFont="1" applyFill="1" applyBorder="1"/>
    <xf numFmtId="2" fontId="3" fillId="10" borderId="1" xfId="0" applyNumberFormat="1" applyFont="1" applyFill="1" applyBorder="1"/>
    <xf numFmtId="166" fontId="0" fillId="10" borderId="1" xfId="0" applyNumberFormat="1" applyFill="1" applyBorder="1"/>
    <xf numFmtId="0" fontId="3" fillId="10" borderId="10" xfId="0" applyFont="1" applyFill="1" applyBorder="1" applyAlignment="1">
      <alignment horizontal="left" indent="1"/>
    </xf>
    <xf numFmtId="1" fontId="3" fillId="10" borderId="12" xfId="0" applyNumberFormat="1" applyFont="1" applyFill="1" applyBorder="1"/>
    <xf numFmtId="166" fontId="3" fillId="10" borderId="1" xfId="1" applyNumberFormat="1" applyFont="1" applyFill="1" applyBorder="1"/>
    <xf numFmtId="165" fontId="3" fillId="10" borderId="1" xfId="0" applyNumberFormat="1" applyFont="1" applyFill="1" applyBorder="1"/>
    <xf numFmtId="166" fontId="3" fillId="10" borderId="1" xfId="0" applyNumberFormat="1" applyFont="1" applyFill="1" applyBorder="1"/>
    <xf numFmtId="0" fontId="0" fillId="10" borderId="1" xfId="0" applyFill="1" applyBorder="1" applyAlignment="1">
      <alignment horizontal="left" indent="1"/>
    </xf>
    <xf numFmtId="0" fontId="0" fillId="2" borderId="7" xfId="0" applyFill="1" applyBorder="1" applyAlignment="1">
      <alignment horizontal="left" indent="2"/>
    </xf>
    <xf numFmtId="166" fontId="0" fillId="2" borderId="0" xfId="0" applyNumberFormat="1" applyFill="1" applyBorder="1"/>
    <xf numFmtId="1" fontId="0" fillId="2" borderId="0" xfId="0" applyNumberFormat="1" applyFont="1" applyFill="1" applyBorder="1" applyAlignment="1">
      <alignment horizontal="left" vertical="center" wrapText="1" indent="1"/>
    </xf>
    <xf numFmtId="167" fontId="0" fillId="2" borderId="0" xfId="0" applyNumberFormat="1" applyFill="1"/>
    <xf numFmtId="168" fontId="0" fillId="2" borderId="0" xfId="0" applyNumberFormat="1" applyFill="1"/>
    <xf numFmtId="0" fontId="0" fillId="2" borderId="0" xfId="0" applyNumberFormat="1" applyFill="1"/>
    <xf numFmtId="1" fontId="0" fillId="2" borderId="0" xfId="0" applyNumberFormat="1" applyFill="1" applyBorder="1"/>
    <xf numFmtId="2" fontId="0" fillId="13" borderId="0" xfId="0" applyNumberFormat="1" applyFill="1" applyBorder="1"/>
    <xf numFmtId="0" fontId="3" fillId="13" borderId="51" xfId="0" applyFont="1" applyFill="1" applyBorder="1"/>
    <xf numFmtId="1" fontId="0" fillId="13" borderId="53" xfId="0" applyNumberFormat="1" applyFont="1" applyFill="1" applyBorder="1" applyAlignment="1">
      <alignment horizontal="left" vertical="center" wrapText="1" indent="1"/>
    </xf>
    <xf numFmtId="1" fontId="0" fillId="13" borderId="55" xfId="0" applyNumberFormat="1" applyFont="1" applyFill="1" applyBorder="1" applyAlignment="1">
      <alignment horizontal="left" vertical="center" wrapText="1" indent="1"/>
    </xf>
    <xf numFmtId="166" fontId="3" fillId="3" borderId="6" xfId="1" applyNumberFormat="1" applyFont="1" applyFill="1" applyBorder="1"/>
    <xf numFmtId="0" fontId="11" fillId="2" borderId="0" xfId="0" applyFont="1" applyFill="1" applyBorder="1" applyAlignment="1">
      <alignment horizontal="left" indent="1"/>
    </xf>
    <xf numFmtId="0" fontId="0" fillId="13" borderId="57" xfId="0" applyFont="1" applyFill="1" applyBorder="1"/>
    <xf numFmtId="2" fontId="0" fillId="13" borderId="58" xfId="0" applyNumberFormat="1" applyFill="1" applyBorder="1"/>
    <xf numFmtId="0" fontId="0" fillId="13" borderId="52" xfId="0" applyFill="1" applyBorder="1"/>
    <xf numFmtId="1" fontId="0" fillId="13" borderId="56" xfId="0" applyNumberFormat="1" applyFont="1" applyFill="1" applyBorder="1" applyAlignment="1">
      <alignment horizontal="left" indent="1"/>
    </xf>
    <xf numFmtId="0" fontId="0" fillId="13" borderId="54" xfId="0" applyFill="1" applyBorder="1" applyAlignment="1">
      <alignment horizontal="left" indent="1"/>
    </xf>
    <xf numFmtId="0" fontId="12" fillId="2" borderId="0" xfId="0" applyFont="1" applyFill="1"/>
    <xf numFmtId="0" fontId="0" fillId="2" borderId="10" xfId="0" applyFill="1" applyBorder="1" applyAlignment="1">
      <alignment horizontal="center" vertical="center"/>
    </xf>
    <xf numFmtId="0" fontId="0" fillId="2" borderId="11" xfId="0" applyFill="1" applyBorder="1" applyAlignment="1">
      <alignment horizontal="center" vertical="center"/>
    </xf>
    <xf numFmtId="165" fontId="0" fillId="2" borderId="11" xfId="0" applyNumberFormat="1" applyFill="1" applyBorder="1"/>
    <xf numFmtId="166" fontId="0" fillId="2" borderId="11" xfId="1" applyNumberFormat="1" applyFont="1" applyFill="1" applyBorder="1"/>
    <xf numFmtId="164" fontId="0" fillId="2" borderId="11" xfId="0" applyNumberFormat="1" applyFill="1" applyBorder="1"/>
    <xf numFmtId="166" fontId="0" fillId="2" borderId="11" xfId="0" applyNumberFormat="1" applyFill="1" applyBorder="1"/>
    <xf numFmtId="1" fontId="0" fillId="2" borderId="11" xfId="0" applyNumberFormat="1" applyFill="1" applyBorder="1"/>
    <xf numFmtId="0" fontId="10" fillId="2" borderId="12" xfId="0" applyFont="1" applyFill="1" applyBorder="1"/>
    <xf numFmtId="0" fontId="0" fillId="4" borderId="10" xfId="0" applyFill="1" applyBorder="1"/>
    <xf numFmtId="0" fontId="0" fillId="4" borderId="11" xfId="0" applyFill="1" applyBorder="1" applyAlignment="1">
      <alignment horizontal="center" vertical="center"/>
    </xf>
    <xf numFmtId="0" fontId="0" fillId="4" borderId="11" xfId="0" applyFill="1" applyBorder="1"/>
    <xf numFmtId="166" fontId="0" fillId="4" borderId="11" xfId="1" applyNumberFormat="1" applyFont="1" applyFill="1" applyBorder="1"/>
    <xf numFmtId="0" fontId="0" fillId="4" borderId="12" xfId="0" applyFill="1" applyBorder="1"/>
    <xf numFmtId="165" fontId="0" fillId="4" borderId="11" xfId="0" applyNumberFormat="1" applyFill="1" applyBorder="1"/>
    <xf numFmtId="164" fontId="0" fillId="4" borderId="11" xfId="0" applyNumberFormat="1" applyFill="1" applyBorder="1"/>
    <xf numFmtId="0" fontId="0" fillId="2" borderId="10" xfId="0" applyFill="1" applyBorder="1"/>
    <xf numFmtId="2" fontId="0" fillId="4" borderId="11" xfId="0" applyNumberFormat="1" applyFill="1" applyBorder="1"/>
    <xf numFmtId="2" fontId="0" fillId="2" borderId="11" xfId="0" applyNumberFormat="1" applyFill="1" applyBorder="1"/>
    <xf numFmtId="0" fontId="0" fillId="4" borderId="10" xfId="0" applyFill="1" applyBorder="1" applyAlignment="1">
      <alignment horizontal="center" vertical="center"/>
    </xf>
    <xf numFmtId="0" fontId="0" fillId="2" borderId="10" xfId="0" applyFill="1" applyBorder="1" applyAlignment="1">
      <alignment horizontal="center" vertical="top"/>
    </xf>
    <xf numFmtId="0" fontId="0" fillId="2" borderId="11" xfId="0" applyFill="1" applyBorder="1" applyAlignment="1">
      <alignment vertical="top"/>
    </xf>
    <xf numFmtId="0" fontId="0" fillId="2" borderId="11" xfId="0" applyFill="1" applyBorder="1" applyAlignment="1">
      <alignment horizontal="center" vertical="top"/>
    </xf>
    <xf numFmtId="165" fontId="0" fillId="2" borderId="11" xfId="0" applyNumberFormat="1" applyFill="1" applyBorder="1" applyAlignment="1">
      <alignment vertical="top"/>
    </xf>
    <xf numFmtId="166" fontId="0" fillId="2" borderId="11" xfId="1" applyNumberFormat="1" applyFont="1" applyFill="1" applyBorder="1" applyAlignment="1">
      <alignment vertical="top"/>
    </xf>
    <xf numFmtId="164" fontId="0" fillId="2" borderId="11" xfId="0" applyNumberFormat="1" applyFill="1" applyBorder="1" applyAlignment="1">
      <alignment vertical="top"/>
    </xf>
    <xf numFmtId="166" fontId="0" fillId="2" borderId="11" xfId="0" applyNumberFormat="1" applyFill="1" applyBorder="1" applyAlignment="1">
      <alignment vertical="top"/>
    </xf>
    <xf numFmtId="0" fontId="0" fillId="2" borderId="12" xfId="0" applyFill="1" applyBorder="1" applyAlignment="1">
      <alignment wrapText="1"/>
    </xf>
    <xf numFmtId="0" fontId="0" fillId="16" borderId="10" xfId="0" applyFill="1" applyBorder="1" applyAlignment="1">
      <alignment horizontal="left" indent="1"/>
    </xf>
    <xf numFmtId="0" fontId="0" fillId="16" borderId="12" xfId="0" applyFill="1" applyBorder="1" applyAlignment="1">
      <alignment horizontal="center"/>
    </xf>
    <xf numFmtId="0" fontId="0" fillId="16" borderId="7" xfId="0" applyFill="1" applyBorder="1" applyAlignment="1">
      <alignment horizontal="left" indent="1"/>
    </xf>
    <xf numFmtId="0" fontId="0" fillId="16" borderId="7" xfId="0" applyFont="1" applyFill="1" applyBorder="1" applyAlignment="1">
      <alignment horizontal="left" indent="1"/>
    </xf>
    <xf numFmtId="0" fontId="0" fillId="16" borderId="1" xfId="0" applyFill="1" applyBorder="1" applyAlignment="1">
      <alignment horizontal="left" indent="2"/>
    </xf>
    <xf numFmtId="166" fontId="0" fillId="16" borderId="1" xfId="1" applyNumberFormat="1" applyFont="1" applyFill="1" applyBorder="1"/>
    <xf numFmtId="166" fontId="0" fillId="16" borderId="14" xfId="1" applyNumberFormat="1" applyFont="1" applyFill="1" applyBorder="1"/>
    <xf numFmtId="0" fontId="0" fillId="16" borderId="10" xfId="0" applyFill="1" applyBorder="1" applyAlignment="1">
      <alignment horizontal="left" indent="2"/>
    </xf>
    <xf numFmtId="166" fontId="1" fillId="16" borderId="14" xfId="1" applyNumberFormat="1" applyFont="1" applyFill="1" applyBorder="1"/>
    <xf numFmtId="0" fontId="3" fillId="16" borderId="12" xfId="0" applyFont="1" applyFill="1" applyBorder="1" applyAlignment="1">
      <alignment horizontal="center"/>
    </xf>
    <xf numFmtId="2" fontId="13" fillId="2" borderId="11" xfId="0" applyNumberFormat="1" applyFont="1" applyFill="1" applyBorder="1"/>
    <xf numFmtId="0" fontId="10" fillId="2" borderId="11" xfId="0" applyFont="1" applyFill="1" applyBorder="1" applyAlignment="1">
      <alignment horizontal="center" vertical="center"/>
    </xf>
    <xf numFmtId="166" fontId="0" fillId="2" borderId="15" xfId="0" applyNumberFormat="1" applyFill="1" applyBorder="1"/>
    <xf numFmtId="164" fontId="3" fillId="12" borderId="0" xfId="0" applyNumberFormat="1" applyFont="1" applyFill="1" applyBorder="1"/>
    <xf numFmtId="164" fontId="3" fillId="12" borderId="49" xfId="0" applyNumberFormat="1" applyFont="1" applyFill="1" applyBorder="1"/>
    <xf numFmtId="166" fontId="0" fillId="11" borderId="1" xfId="1" applyNumberFormat="1" applyFont="1" applyFill="1" applyBorder="1"/>
    <xf numFmtId="166" fontId="0" fillId="2" borderId="13" xfId="1" applyNumberFormat="1" applyFont="1" applyFill="1" applyBorder="1"/>
    <xf numFmtId="1" fontId="0" fillId="2" borderId="12" xfId="0" applyNumberFormat="1" applyFont="1" applyFill="1" applyBorder="1"/>
    <xf numFmtId="0" fontId="14" fillId="17" borderId="1" xfId="0" applyFont="1" applyFill="1" applyBorder="1" applyAlignment="1">
      <alignment horizontal="left" indent="2"/>
    </xf>
    <xf numFmtId="0" fontId="14" fillId="17" borderId="1" xfId="0" applyFont="1" applyFill="1" applyBorder="1" applyAlignment="1">
      <alignment horizontal="center"/>
    </xf>
    <xf numFmtId="166" fontId="14" fillId="17" borderId="1" xfId="1" applyNumberFormat="1" applyFont="1" applyFill="1" applyBorder="1"/>
    <xf numFmtId="0" fontId="0" fillId="17" borderId="1" xfId="0" applyFill="1" applyBorder="1"/>
    <xf numFmtId="0" fontId="0" fillId="17" borderId="10" xfId="0" applyFill="1" applyBorder="1" applyAlignment="1">
      <alignment horizontal="left" indent="2"/>
    </xf>
    <xf numFmtId="0" fontId="0" fillId="17" borderId="10" xfId="0" applyFill="1" applyBorder="1" applyAlignment="1">
      <alignment horizontal="center"/>
    </xf>
    <xf numFmtId="166" fontId="0" fillId="17" borderId="1" xfId="1" applyNumberFormat="1" applyFont="1" applyFill="1" applyBorder="1"/>
    <xf numFmtId="0" fontId="0" fillId="2" borderId="14" xfId="0" applyFill="1" applyBorder="1" applyAlignment="1">
      <alignment horizontal="left" indent="2"/>
    </xf>
    <xf numFmtId="166" fontId="0" fillId="2" borderId="1" xfId="0" applyNumberFormat="1" applyFill="1" applyBorder="1" applyAlignment="1">
      <alignment vertical="center"/>
    </xf>
    <xf numFmtId="14" fontId="0" fillId="2" borderId="1" xfId="0" applyNumberFormat="1" applyFill="1" applyBorder="1" applyAlignment="1">
      <alignment horizontal="center"/>
    </xf>
    <xf numFmtId="166" fontId="0" fillId="2" borderId="10" xfId="0" applyNumberFormat="1" applyFill="1" applyBorder="1" applyAlignment="1">
      <alignment vertical="center"/>
    </xf>
    <xf numFmtId="164" fontId="0" fillId="2" borderId="10" xfId="0" applyNumberFormat="1" applyFill="1" applyBorder="1" applyAlignment="1">
      <alignment vertical="center"/>
    </xf>
    <xf numFmtId="166" fontId="3" fillId="10" borderId="36" xfId="0" applyNumberFormat="1" applyFont="1" applyFill="1" applyBorder="1"/>
    <xf numFmtId="0" fontId="15" fillId="2" borderId="0" xfId="0" applyFont="1" applyFill="1"/>
    <xf numFmtId="0" fontId="16" fillId="2" borderId="0" xfId="0" applyFont="1" applyFill="1"/>
    <xf numFmtId="0" fontId="17" fillId="2" borderId="0" xfId="0" applyFont="1" applyFill="1"/>
    <xf numFmtId="166" fontId="0" fillId="8" borderId="10" xfId="1" applyNumberFormat="1" applyFont="1" applyFill="1" applyBorder="1"/>
    <xf numFmtId="166" fontId="0" fillId="2" borderId="10" xfId="1" applyNumberFormat="1" applyFont="1" applyFill="1" applyBorder="1"/>
    <xf numFmtId="166" fontId="3" fillId="8" borderId="10" xfId="1" applyNumberFormat="1" applyFont="1" applyFill="1" applyBorder="1"/>
    <xf numFmtId="1" fontId="3" fillId="8" borderId="1" xfId="0" applyNumberFormat="1" applyFont="1" applyFill="1" applyBorder="1"/>
    <xf numFmtId="166" fontId="0" fillId="2" borderId="19" xfId="0" applyNumberFormat="1" applyFill="1" applyBorder="1" applyAlignment="1">
      <alignment vertical="center"/>
    </xf>
    <xf numFmtId="166" fontId="0" fillId="2" borderId="21" xfId="0" applyNumberFormat="1" applyFill="1" applyBorder="1"/>
    <xf numFmtId="166" fontId="0" fillId="2" borderId="23" xfId="0" applyNumberFormat="1" applyFill="1" applyBorder="1"/>
    <xf numFmtId="0" fontId="0" fillId="2" borderId="26" xfId="0" applyFill="1" applyBorder="1" applyAlignment="1">
      <alignment horizontal="left" indent="2"/>
    </xf>
    <xf numFmtId="166" fontId="0" fillId="2" borderId="59" xfId="1" applyNumberFormat="1" applyFont="1" applyFill="1" applyBorder="1"/>
    <xf numFmtId="166" fontId="0" fillId="2" borderId="26" xfId="0" applyNumberFormat="1" applyFill="1" applyBorder="1" applyAlignment="1">
      <alignment vertical="center"/>
    </xf>
    <xf numFmtId="166" fontId="0" fillId="2" borderId="25" xfId="0" applyNumberFormat="1" applyFill="1" applyBorder="1" applyAlignment="1">
      <alignment vertical="center"/>
    </xf>
    <xf numFmtId="166" fontId="0" fillId="2" borderId="27" xfId="0" applyNumberFormat="1" applyFill="1" applyBorder="1"/>
    <xf numFmtId="0" fontId="0" fillId="2" borderId="20" xfId="0" applyFill="1" applyBorder="1" applyAlignment="1">
      <alignment horizontal="left" indent="2"/>
    </xf>
    <xf numFmtId="166" fontId="0" fillId="2" borderId="20" xfId="0" applyNumberFormat="1" applyFill="1" applyBorder="1" applyAlignment="1">
      <alignment vertical="center"/>
    </xf>
    <xf numFmtId="164" fontId="0" fillId="2" borderId="19" xfId="0" applyNumberFormat="1" applyFill="1" applyBorder="1" applyAlignment="1">
      <alignment vertical="center"/>
    </xf>
    <xf numFmtId="166" fontId="0" fillId="2" borderId="29" xfId="0" applyNumberFormat="1" applyFill="1" applyBorder="1"/>
    <xf numFmtId="166" fontId="0" fillId="2" borderId="31" xfId="0" applyNumberFormat="1" applyFill="1" applyBorder="1"/>
    <xf numFmtId="14" fontId="0" fillId="2" borderId="33" xfId="0" applyNumberFormat="1" applyFill="1" applyBorder="1" applyAlignment="1">
      <alignment horizontal="center"/>
    </xf>
    <xf numFmtId="166" fontId="0" fillId="2" borderId="33" xfId="0" applyNumberFormat="1" applyFill="1" applyBorder="1" applyAlignment="1">
      <alignment vertical="center"/>
    </xf>
    <xf numFmtId="164" fontId="0" fillId="2" borderId="60" xfId="0" applyNumberFormat="1" applyFill="1" applyBorder="1" applyAlignment="1">
      <alignment vertical="center"/>
    </xf>
    <xf numFmtId="166" fontId="0" fillId="2" borderId="34" xfId="0" applyNumberFormat="1" applyFill="1" applyBorder="1"/>
    <xf numFmtId="0" fontId="18" fillId="2" borderId="0" xfId="0" applyFont="1" applyFill="1"/>
    <xf numFmtId="0" fontId="19" fillId="2" borderId="0" xfId="0" applyFont="1" applyFill="1"/>
    <xf numFmtId="0" fontId="19" fillId="2" borderId="0" xfId="0" applyFont="1" applyFill="1" applyAlignment="1">
      <alignment horizontal="left"/>
    </xf>
    <xf numFmtId="0" fontId="3" fillId="10" borderId="15" xfId="0" applyFont="1" applyFill="1" applyBorder="1" applyAlignment="1">
      <alignment horizontal="center" vertical="center" wrapText="1"/>
    </xf>
    <xf numFmtId="165" fontId="3" fillId="10" borderId="15" xfId="0" applyNumberFormat="1" applyFont="1" applyFill="1" applyBorder="1" applyAlignment="1">
      <alignment horizontal="center" vertical="center" wrapText="1"/>
    </xf>
    <xf numFmtId="0" fontId="0" fillId="17" borderId="1" xfId="0" applyFill="1" applyBorder="1" applyAlignment="1">
      <alignment horizontal="left" indent="2"/>
    </xf>
    <xf numFmtId="0" fontId="0" fillId="17" borderId="1" xfId="0" applyFill="1" applyBorder="1" applyAlignment="1">
      <alignment horizontal="center"/>
    </xf>
    <xf numFmtId="166" fontId="0" fillId="2" borderId="5" xfId="0" applyNumberFormat="1" applyFill="1" applyBorder="1" applyAlignment="1">
      <alignment vertical="center"/>
    </xf>
    <xf numFmtId="2" fontId="0" fillId="2" borderId="57" xfId="0" applyNumberFormat="1" applyFill="1" applyBorder="1"/>
    <xf numFmtId="166" fontId="0" fillId="2" borderId="61" xfId="0" applyNumberFormat="1" applyFill="1" applyBorder="1"/>
    <xf numFmtId="166" fontId="0" fillId="2" borderId="60" xfId="0" applyNumberFormat="1" applyFill="1" applyBorder="1" applyAlignment="1">
      <alignment vertical="center"/>
    </xf>
    <xf numFmtId="0" fontId="0" fillId="2" borderId="33" xfId="0" applyFill="1" applyBorder="1"/>
    <xf numFmtId="166" fontId="0" fillId="2" borderId="62" xfId="0" applyNumberFormat="1" applyFill="1" applyBorder="1"/>
    <xf numFmtId="2" fontId="0" fillId="2" borderId="20" xfId="0" applyNumberFormat="1" applyFill="1" applyBorder="1"/>
    <xf numFmtId="2" fontId="0" fillId="2" borderId="26" xfId="0" applyNumberFormat="1" applyFill="1" applyBorder="1"/>
    <xf numFmtId="0" fontId="20" fillId="2" borderId="0" xfId="0" applyFont="1" applyFill="1"/>
    <xf numFmtId="0" fontId="21" fillId="2" borderId="0" xfId="0" applyFont="1" applyFill="1" applyAlignment="1">
      <alignment horizontal="center"/>
    </xf>
    <xf numFmtId="0" fontId="22" fillId="2" borderId="0" xfId="0" applyFont="1" applyFill="1" applyAlignment="1">
      <alignment horizontal="center"/>
    </xf>
    <xf numFmtId="0" fontId="23" fillId="2" borderId="0" xfId="0" applyFont="1" applyFill="1" applyAlignment="1">
      <alignment horizontal="center"/>
    </xf>
    <xf numFmtId="0" fontId="24" fillId="2" borderId="0" xfId="0" applyFont="1" applyFill="1" applyAlignment="1">
      <alignment horizontal="center"/>
    </xf>
    <xf numFmtId="0" fontId="25" fillId="2" borderId="0" xfId="0" applyFont="1" applyFill="1" applyAlignment="1">
      <alignment horizontal="center"/>
    </xf>
    <xf numFmtId="0" fontId="26" fillId="2" borderId="0" xfId="5" applyFont="1" applyFill="1" applyAlignment="1">
      <alignment vertical="center"/>
    </xf>
    <xf numFmtId="0" fontId="14" fillId="2" borderId="0" xfId="0" applyFont="1" applyFill="1" applyAlignment="1">
      <alignment vertical="center"/>
    </xf>
    <xf numFmtId="0" fontId="26" fillId="2" borderId="0" xfId="5" applyFont="1" applyFill="1"/>
    <xf numFmtId="0" fontId="14" fillId="2" borderId="0" xfId="0" applyFont="1" applyFill="1"/>
    <xf numFmtId="0" fontId="27" fillId="2" borderId="0" xfId="0" applyFont="1" applyFill="1"/>
    <xf numFmtId="0" fontId="3" fillId="15" borderId="2" xfId="0" applyFont="1" applyFill="1" applyBorder="1"/>
    <xf numFmtId="0" fontId="3" fillId="15" borderId="3" xfId="0" applyFont="1" applyFill="1" applyBorder="1"/>
    <xf numFmtId="0" fontId="3" fillId="15" borderId="4" xfId="0" applyFont="1" applyFill="1" applyBorder="1"/>
    <xf numFmtId="0" fontId="0" fillId="2" borderId="7" xfId="0" applyFill="1" applyBorder="1" applyAlignment="1">
      <alignment horizontal="center" vertical="center"/>
    </xf>
    <xf numFmtId="0" fontId="0" fillId="2" borderId="9" xfId="0" applyFill="1" applyBorder="1" applyAlignment="1">
      <alignment horizontal="center"/>
    </xf>
    <xf numFmtId="0" fontId="8" fillId="2" borderId="12" xfId="5" applyFill="1" applyBorder="1" applyAlignment="1">
      <alignment horizontal="center"/>
    </xf>
    <xf numFmtId="0" fontId="3" fillId="3" borderId="1" xfId="0" applyFont="1" applyFill="1" applyBorder="1"/>
    <xf numFmtId="166" fontId="3" fillId="3" borderId="1" xfId="1" applyNumberFormat="1" applyFont="1" applyFill="1" applyBorder="1"/>
    <xf numFmtId="0" fontId="0" fillId="19" borderId="15" xfId="0" applyFont="1" applyFill="1" applyBorder="1"/>
    <xf numFmtId="0" fontId="0" fillId="19" borderId="10" xfId="0" applyFont="1" applyFill="1" applyBorder="1"/>
    <xf numFmtId="0" fontId="3" fillId="19" borderId="11" xfId="0" applyFont="1" applyFill="1" applyBorder="1"/>
    <xf numFmtId="0" fontId="0" fillId="19" borderId="11" xfId="0" applyFill="1" applyBorder="1"/>
    <xf numFmtId="0" fontId="0" fillId="19" borderId="12" xfId="0" applyFill="1" applyBorder="1"/>
    <xf numFmtId="0" fontId="3" fillId="19" borderId="14" xfId="0" applyFont="1" applyFill="1" applyBorder="1" applyAlignment="1">
      <alignment horizontal="left" vertical="top" wrapText="1"/>
    </xf>
    <xf numFmtId="0" fontId="3" fillId="19" borderId="1" xfId="0" applyFont="1" applyFill="1" applyBorder="1" applyAlignment="1">
      <alignment horizontal="center" vertical="center" wrapText="1"/>
    </xf>
    <xf numFmtId="165" fontId="3" fillId="19" borderId="1" xfId="0" applyNumberFormat="1" applyFont="1" applyFill="1" applyBorder="1" applyAlignment="1">
      <alignment horizontal="center" vertical="center" wrapText="1"/>
    </xf>
    <xf numFmtId="2" fontId="0" fillId="2" borderId="2" xfId="0" applyNumberFormat="1" applyFill="1" applyBorder="1"/>
    <xf numFmtId="2" fontId="0" fillId="2" borderId="10" xfId="0" applyNumberFormat="1" applyFill="1" applyBorder="1"/>
    <xf numFmtId="1" fontId="0" fillId="2" borderId="2" xfId="0" applyNumberFormat="1" applyFill="1" applyBorder="1"/>
    <xf numFmtId="2" fontId="0" fillId="2" borderId="15" xfId="0" applyNumberFormat="1" applyFill="1" applyBorder="1"/>
    <xf numFmtId="1" fontId="0" fillId="2" borderId="5" xfId="0" applyNumberFormat="1" applyFill="1" applyBorder="1"/>
    <xf numFmtId="2" fontId="0" fillId="2" borderId="4" xfId="0" applyNumberFormat="1" applyFill="1" applyBorder="1"/>
    <xf numFmtId="1" fontId="0" fillId="2" borderId="7" xfId="0" applyNumberFormat="1" applyFill="1" applyBorder="1"/>
    <xf numFmtId="0" fontId="3" fillId="20" borderId="1" xfId="0" applyFont="1" applyFill="1" applyBorder="1" applyAlignment="1">
      <alignment horizontal="left" indent="1"/>
    </xf>
    <xf numFmtId="1" fontId="3" fillId="20" borderId="12" xfId="0" applyNumberFormat="1" applyFont="1" applyFill="1" applyBorder="1"/>
    <xf numFmtId="166" fontId="3" fillId="20" borderId="1" xfId="1" applyNumberFormat="1" applyFont="1" applyFill="1" applyBorder="1"/>
    <xf numFmtId="9" fontId="3" fillId="20" borderId="1" xfId="2" applyFont="1" applyFill="1" applyBorder="1"/>
    <xf numFmtId="2" fontId="3" fillId="20" borderId="10" xfId="0" applyNumberFormat="1" applyFont="1" applyFill="1" applyBorder="1"/>
    <xf numFmtId="1" fontId="3" fillId="20" borderId="1" xfId="0" applyNumberFormat="1" applyFont="1" applyFill="1" applyBorder="1"/>
    <xf numFmtId="2" fontId="3" fillId="20" borderId="1" xfId="0" applyNumberFormat="1" applyFont="1" applyFill="1" applyBorder="1"/>
    <xf numFmtId="1" fontId="3" fillId="20" borderId="11" xfId="0" applyNumberFormat="1" applyFont="1" applyFill="1" applyBorder="1"/>
    <xf numFmtId="166" fontId="3" fillId="20" borderId="11" xfId="1" applyNumberFormat="1" applyFont="1" applyFill="1" applyBorder="1"/>
    <xf numFmtId="9" fontId="3" fillId="20" borderId="11" xfId="2" applyFont="1" applyFill="1" applyBorder="1"/>
    <xf numFmtId="2" fontId="3" fillId="20" borderId="11" xfId="0" applyNumberFormat="1" applyFont="1" applyFill="1" applyBorder="1"/>
    <xf numFmtId="1" fontId="3" fillId="20" borderId="10" xfId="0" applyNumberFormat="1" applyFont="1" applyFill="1" applyBorder="1"/>
    <xf numFmtId="2" fontId="3" fillId="20" borderId="12" xfId="0" applyNumberFormat="1" applyFont="1" applyFill="1" applyBorder="1"/>
    <xf numFmtId="165" fontId="3" fillId="3" borderId="2" xfId="0" applyNumberFormat="1" applyFont="1" applyFill="1" applyBorder="1" applyAlignment="1">
      <alignment horizontal="left" vertical="center" wrapText="1"/>
    </xf>
    <xf numFmtId="165" fontId="3" fillId="3" borderId="4" xfId="0" applyNumberFormat="1" applyFont="1" applyFill="1" applyBorder="1"/>
    <xf numFmtId="165" fontId="3" fillId="3" borderId="5" xfId="0" applyNumberFormat="1" applyFont="1" applyFill="1" applyBorder="1" applyAlignment="1">
      <alignment horizontal="left" vertical="center" wrapText="1"/>
    </xf>
    <xf numFmtId="0" fontId="3" fillId="3" borderId="6" xfId="0" applyFont="1" applyFill="1" applyBorder="1"/>
    <xf numFmtId="165" fontId="3" fillId="3" borderId="7" xfId="0" applyNumberFormat="1" applyFont="1" applyFill="1" applyBorder="1" applyAlignment="1">
      <alignment horizontal="left" vertical="center" wrapText="1"/>
    </xf>
    <xf numFmtId="0" fontId="3" fillId="3" borderId="9" xfId="0" applyFont="1" applyFill="1" applyBorder="1"/>
    <xf numFmtId="0" fontId="26" fillId="2" borderId="0" xfId="5" applyFont="1" applyFill="1" applyAlignment="1">
      <alignment horizontal="left" vertical="center" indent="1"/>
    </xf>
    <xf numFmtId="0" fontId="3" fillId="5" borderId="11" xfId="0" applyFont="1" applyFill="1" applyBorder="1"/>
    <xf numFmtId="166" fontId="0" fillId="2" borderId="12" xfId="1" applyNumberFormat="1" applyFont="1" applyFill="1" applyBorder="1"/>
    <xf numFmtId="166" fontId="0" fillId="8" borderId="15" xfId="1" applyNumberFormat="1" applyFont="1" applyFill="1" applyBorder="1"/>
    <xf numFmtId="9" fontId="0" fillId="10" borderId="1" xfId="2" applyFont="1" applyFill="1" applyBorder="1"/>
    <xf numFmtId="0" fontId="3" fillId="19" borderId="1" xfId="0" applyFont="1" applyFill="1" applyBorder="1" applyAlignment="1">
      <alignment wrapText="1"/>
    </xf>
    <xf numFmtId="166" fontId="3" fillId="19" borderId="1" xfId="1" applyNumberFormat="1" applyFont="1" applyFill="1" applyBorder="1" applyAlignment="1">
      <alignment wrapText="1"/>
    </xf>
    <xf numFmtId="166" fontId="0" fillId="10" borderId="1" xfId="2" applyNumberFormat="1" applyFont="1" applyFill="1" applyBorder="1"/>
    <xf numFmtId="0" fontId="0" fillId="10" borderId="1" xfId="0" applyFont="1" applyFill="1" applyBorder="1" applyAlignment="1">
      <alignment wrapText="1"/>
    </xf>
    <xf numFmtId="0" fontId="3" fillId="10" borderId="10" xfId="0" applyFont="1" applyFill="1" applyBorder="1" applyAlignment="1">
      <alignment horizontal="left" vertical="top" wrapText="1" indent="1"/>
    </xf>
    <xf numFmtId="165" fontId="3" fillId="10" borderId="11" xfId="0" applyNumberFormat="1" applyFont="1" applyFill="1" applyBorder="1" applyAlignment="1">
      <alignment horizontal="center" wrapText="1"/>
    </xf>
    <xf numFmtId="165" fontId="3" fillId="10" borderId="12" xfId="0" applyNumberFormat="1" applyFont="1" applyFill="1" applyBorder="1" applyAlignment="1">
      <alignment horizontal="center" wrapText="1"/>
    </xf>
    <xf numFmtId="0" fontId="3" fillId="10" borderId="1" xfId="0" applyFont="1" applyFill="1" applyBorder="1" applyAlignment="1">
      <alignment horizontal="left" vertical="center" wrapText="1" indent="1"/>
    </xf>
    <xf numFmtId="0" fontId="3" fillId="10" borderId="1" xfId="0" applyFont="1" applyFill="1" applyBorder="1" applyAlignment="1">
      <alignment horizontal="center" vertical="center" wrapText="1"/>
    </xf>
    <xf numFmtId="0" fontId="0" fillId="2" borderId="1" xfId="0" applyFill="1" applyBorder="1" applyAlignment="1">
      <alignment horizontal="center" vertical="center"/>
    </xf>
    <xf numFmtId="165" fontId="0" fillId="2" borderId="1" xfId="0" applyNumberFormat="1" applyFill="1" applyBorder="1" applyAlignment="1">
      <alignment horizontal="center"/>
    </xf>
    <xf numFmtId="0" fontId="0" fillId="9" borderId="1" xfId="0" applyFill="1" applyBorder="1" applyAlignment="1">
      <alignment horizontal="center"/>
    </xf>
    <xf numFmtId="0" fontId="0" fillId="2" borderId="0" xfId="0" applyFill="1" applyBorder="1" applyAlignment="1">
      <alignment horizontal="center" vertical="center"/>
    </xf>
    <xf numFmtId="165" fontId="0" fillId="2" borderId="0" xfId="0" applyNumberFormat="1" applyFill="1" applyBorder="1" applyAlignment="1">
      <alignment horizontal="center"/>
    </xf>
    <xf numFmtId="0" fontId="0" fillId="2" borderId="1" xfId="0" applyFill="1" applyBorder="1" applyAlignment="1">
      <alignment horizontal="left" indent="1"/>
    </xf>
    <xf numFmtId="0" fontId="3" fillId="2" borderId="1" xfId="0" applyFont="1" applyFill="1" applyBorder="1" applyAlignment="1">
      <alignment horizontal="left" wrapText="1" indent="1"/>
    </xf>
    <xf numFmtId="165" fontId="3" fillId="10" borderId="1" xfId="0" applyNumberFormat="1" applyFont="1" applyFill="1" applyBorder="1" applyAlignment="1">
      <alignment horizontal="center" vertical="center" wrapText="1"/>
    </xf>
    <xf numFmtId="2" fontId="0" fillId="8" borderId="7" xfId="0" applyNumberFormat="1" applyFont="1" applyFill="1" applyBorder="1" applyAlignment="1">
      <alignment horizontal="center"/>
    </xf>
    <xf numFmtId="2" fontId="0" fillId="2" borderId="7" xfId="0" applyNumberFormat="1" applyFont="1" applyFill="1" applyBorder="1" applyAlignment="1">
      <alignment horizontal="center"/>
    </xf>
    <xf numFmtId="0" fontId="0" fillId="2" borderId="0" xfId="0" applyFont="1" applyFill="1" applyBorder="1" applyAlignment="1">
      <alignment horizontal="left" indent="2"/>
    </xf>
    <xf numFmtId="164" fontId="0" fillId="2" borderId="0" xfId="1" applyFont="1" applyFill="1"/>
    <xf numFmtId="164" fontId="0" fillId="10" borderId="1" xfId="2" applyNumberFormat="1" applyFont="1" applyFill="1" applyBorder="1"/>
    <xf numFmtId="0" fontId="0" fillId="10" borderId="1" xfId="0" applyFont="1" applyFill="1" applyBorder="1" applyAlignment="1">
      <alignment horizontal="left" wrapText="1" indent="1"/>
    </xf>
    <xf numFmtId="166" fontId="3" fillId="10" borderId="1" xfId="1" applyNumberFormat="1" applyFont="1" applyFill="1" applyBorder="1" applyAlignment="1">
      <alignment wrapText="1"/>
    </xf>
    <xf numFmtId="9" fontId="0" fillId="2" borderId="0" xfId="0" applyNumberFormat="1" applyFont="1" applyFill="1" applyBorder="1" applyAlignment="1">
      <alignment wrapText="1"/>
    </xf>
    <xf numFmtId="166" fontId="0" fillId="2" borderId="0" xfId="0" applyNumberFormat="1" applyFont="1" applyFill="1" applyBorder="1" applyAlignment="1">
      <alignment wrapText="1"/>
    </xf>
    <xf numFmtId="166" fontId="1" fillId="10" borderId="1" xfId="1" applyNumberFormat="1" applyFont="1" applyFill="1" applyBorder="1" applyAlignment="1">
      <alignment wrapText="1"/>
    </xf>
    <xf numFmtId="166" fontId="0" fillId="12" borderId="1" xfId="1" applyNumberFormat="1" applyFont="1" applyFill="1" applyBorder="1"/>
    <xf numFmtId="166" fontId="3" fillId="12" borderId="1" xfId="1" applyNumberFormat="1" applyFont="1" applyFill="1" applyBorder="1"/>
    <xf numFmtId="164" fontId="0" fillId="2" borderId="1" xfId="1" applyNumberFormat="1" applyFont="1" applyFill="1" applyBorder="1"/>
    <xf numFmtId="0" fontId="3" fillId="20" borderId="1" xfId="0" applyFont="1" applyFill="1" applyBorder="1" applyAlignment="1">
      <alignment wrapText="1"/>
    </xf>
    <xf numFmtId="9" fontId="3" fillId="20" borderId="1" xfId="2" applyFont="1" applyFill="1" applyBorder="1" applyAlignment="1">
      <alignment wrapText="1"/>
    </xf>
    <xf numFmtId="166" fontId="3" fillId="20" borderId="1" xfId="1" applyNumberFormat="1" applyFont="1" applyFill="1" applyBorder="1" applyAlignment="1">
      <alignment wrapText="1"/>
    </xf>
    <xf numFmtId="9" fontId="0" fillId="10" borderId="1" xfId="2" applyFont="1" applyFill="1" applyBorder="1" applyAlignment="1">
      <alignment wrapText="1"/>
    </xf>
    <xf numFmtId="166" fontId="0" fillId="2" borderId="1" xfId="1" applyNumberFormat="1" applyFont="1" applyFill="1" applyBorder="1" applyAlignment="1">
      <alignment horizontal="center" vertical="center"/>
    </xf>
    <xf numFmtId="0" fontId="0" fillId="10" borderId="0" xfId="0" applyFill="1" applyBorder="1"/>
    <xf numFmtId="2" fontId="0" fillId="2" borderId="1" xfId="0" applyNumberFormat="1" applyFill="1" applyBorder="1" applyAlignment="1">
      <alignment horizontal="center"/>
    </xf>
    <xf numFmtId="9" fontId="0" fillId="2" borderId="0" xfId="0" applyNumberFormat="1" applyFill="1"/>
    <xf numFmtId="166" fontId="0" fillId="2" borderId="0" xfId="0" applyNumberFormat="1" applyFont="1" applyFill="1"/>
    <xf numFmtId="0" fontId="3" fillId="8" borderId="7" xfId="0" applyFont="1" applyFill="1" applyBorder="1" applyAlignment="1">
      <alignment horizontal="center"/>
    </xf>
    <xf numFmtId="0" fontId="3" fillId="8" borderId="10" xfId="0" applyFont="1" applyFill="1" applyBorder="1" applyAlignment="1">
      <alignment horizontal="center"/>
    </xf>
    <xf numFmtId="0" fontId="3" fillId="4" borderId="11" xfId="0" applyFont="1" applyFill="1" applyBorder="1" applyAlignment="1">
      <alignment horizontal="center"/>
    </xf>
    <xf numFmtId="0" fontId="0" fillId="2" borderId="1" xfId="0" applyFont="1" applyFill="1" applyBorder="1" applyAlignment="1">
      <alignment horizontal="center" wrapText="1"/>
    </xf>
    <xf numFmtId="1" fontId="0" fillId="2" borderId="7" xfId="0" applyNumberFormat="1" applyFill="1" applyBorder="1" applyAlignment="1">
      <alignment horizontal="right" indent="2"/>
    </xf>
    <xf numFmtId="0" fontId="3" fillId="8" borderId="7" xfId="0" applyFont="1" applyFill="1" applyBorder="1" applyAlignment="1">
      <alignment horizontal="right" indent="1"/>
    </xf>
    <xf numFmtId="165" fontId="0" fillId="2" borderId="7" xfId="0" applyNumberFormat="1" applyFill="1" applyBorder="1" applyAlignment="1">
      <alignment horizontal="right" indent="2"/>
    </xf>
    <xf numFmtId="165" fontId="0" fillId="9" borderId="1" xfId="0" applyNumberFormat="1" applyFill="1" applyBorder="1" applyAlignment="1">
      <alignment horizontal="right" indent="1"/>
    </xf>
    <xf numFmtId="0" fontId="0" fillId="2" borderId="11" xfId="0" applyFill="1" applyBorder="1" applyAlignment="1">
      <alignment horizontal="center"/>
    </xf>
    <xf numFmtId="0" fontId="0" fillId="2" borderId="11" xfId="0" applyFill="1" applyBorder="1" applyAlignment="1">
      <alignment horizontal="left" indent="2"/>
    </xf>
    <xf numFmtId="0" fontId="0" fillId="2" borderId="11" xfId="0" applyFont="1" applyFill="1" applyBorder="1" applyAlignment="1">
      <alignment horizontal="center" wrapText="1"/>
    </xf>
    <xf numFmtId="0" fontId="0" fillId="2" borderId="8" xfId="0" applyFill="1" applyBorder="1" applyAlignment="1">
      <alignment horizontal="left" indent="2"/>
    </xf>
    <xf numFmtId="165" fontId="0" fillId="9" borderId="1" xfId="0" applyNumberFormat="1" applyFill="1" applyBorder="1" applyAlignment="1">
      <alignment horizontal="left" indent="1"/>
    </xf>
    <xf numFmtId="165" fontId="0" fillId="9" borderId="7" xfId="0" applyNumberFormat="1" applyFill="1" applyBorder="1" applyAlignment="1">
      <alignment horizontal="right" indent="2"/>
    </xf>
    <xf numFmtId="2" fontId="0" fillId="2" borderId="7" xfId="0" applyNumberFormat="1" applyFill="1" applyBorder="1" applyAlignment="1">
      <alignment horizontal="right" indent="2"/>
    </xf>
    <xf numFmtId="166" fontId="3" fillId="10" borderId="1" xfId="0" applyNumberFormat="1" applyFont="1" applyFill="1" applyBorder="1" applyAlignment="1">
      <alignment wrapText="1"/>
    </xf>
    <xf numFmtId="166" fontId="0" fillId="10" borderId="1" xfId="0" applyNumberFormat="1" applyFont="1" applyFill="1" applyBorder="1" applyAlignment="1">
      <alignment wrapText="1"/>
    </xf>
    <xf numFmtId="9" fontId="1" fillId="10" borderId="1" xfId="2" applyFont="1" applyFill="1" applyBorder="1" applyAlignment="1">
      <alignment wrapText="1"/>
    </xf>
    <xf numFmtId="0" fontId="3" fillId="19" borderId="12" xfId="0" applyFont="1" applyFill="1" applyBorder="1" applyAlignment="1">
      <alignment wrapText="1"/>
    </xf>
    <xf numFmtId="0" fontId="3" fillId="19" borderId="10" xfId="0" applyFont="1" applyFill="1" applyBorder="1" applyAlignment="1">
      <alignment wrapText="1"/>
    </xf>
    <xf numFmtId="0" fontId="3" fillId="19" borderId="11" xfId="0" applyFont="1" applyFill="1" applyBorder="1" applyAlignment="1">
      <alignment wrapText="1"/>
    </xf>
    <xf numFmtId="0" fontId="3" fillId="10" borderId="12" xfId="0" applyFont="1" applyFill="1" applyBorder="1" applyAlignment="1">
      <alignment wrapText="1"/>
    </xf>
    <xf numFmtId="0" fontId="3" fillId="10" borderId="10" xfId="0" applyFont="1" applyFill="1" applyBorder="1" applyAlignment="1">
      <alignment wrapText="1"/>
    </xf>
    <xf numFmtId="0" fontId="3" fillId="10" borderId="11" xfId="0" applyFont="1" applyFill="1" applyBorder="1" applyAlignment="1">
      <alignment wrapText="1"/>
    </xf>
    <xf numFmtId="0" fontId="0" fillId="10" borderId="10" xfId="0" applyFont="1" applyFill="1" applyBorder="1" applyAlignment="1">
      <alignment wrapText="1"/>
    </xf>
    <xf numFmtId="0" fontId="0" fillId="10" borderId="11" xfId="0" applyFont="1" applyFill="1" applyBorder="1" applyAlignment="1">
      <alignment wrapText="1"/>
    </xf>
    <xf numFmtId="0" fontId="0" fillId="10" borderId="10" xfId="0" applyFill="1" applyBorder="1" applyAlignment="1">
      <alignment horizontal="left" indent="1"/>
    </xf>
    <xf numFmtId="0" fontId="3" fillId="20" borderId="11" xfId="0" applyFont="1" applyFill="1" applyBorder="1" applyAlignment="1">
      <alignment wrapText="1"/>
    </xf>
    <xf numFmtId="0" fontId="0" fillId="20" borderId="11" xfId="0" applyFont="1" applyFill="1" applyBorder="1" applyAlignment="1">
      <alignment wrapText="1"/>
    </xf>
    <xf numFmtId="0" fontId="0" fillId="10" borderId="12" xfId="0" applyFont="1" applyFill="1" applyBorder="1" applyAlignment="1">
      <alignment wrapText="1"/>
    </xf>
    <xf numFmtId="9" fontId="0" fillId="10" borderId="11" xfId="2" applyFont="1" applyFill="1" applyBorder="1" applyAlignment="1">
      <alignment wrapText="1"/>
    </xf>
    <xf numFmtId="9" fontId="0" fillId="10" borderId="12" xfId="2" applyFont="1" applyFill="1" applyBorder="1" applyAlignment="1">
      <alignment wrapText="1"/>
    </xf>
    <xf numFmtId="0" fontId="3" fillId="19" borderId="11" xfId="0" applyFont="1" applyFill="1" applyBorder="1" applyAlignment="1"/>
    <xf numFmtId="0" fontId="3" fillId="10" borderId="11" xfId="0" applyFont="1" applyFill="1" applyBorder="1" applyAlignment="1">
      <alignment horizontal="left" indent="1"/>
    </xf>
    <xf numFmtId="0" fontId="0" fillId="10" borderId="11" xfId="0" applyFill="1" applyBorder="1" applyAlignment="1">
      <alignment horizontal="left" indent="1"/>
    </xf>
    <xf numFmtId="0" fontId="3" fillId="20" borderId="11" xfId="0" applyFont="1" applyFill="1" applyBorder="1" applyAlignment="1">
      <alignment horizontal="left" indent="1"/>
    </xf>
    <xf numFmtId="0" fontId="0" fillId="10" borderId="11" xfId="0" applyFill="1" applyBorder="1" applyAlignment="1">
      <alignment horizontal="left" indent="2"/>
    </xf>
    <xf numFmtId="0" fontId="3" fillId="2" borderId="0" xfId="0" applyFont="1" applyFill="1" applyBorder="1" applyAlignment="1">
      <alignment wrapText="1"/>
    </xf>
    <xf numFmtId="0" fontId="3" fillId="2" borderId="6" xfId="0" applyFont="1" applyFill="1" applyBorder="1" applyAlignment="1">
      <alignment wrapText="1"/>
    </xf>
    <xf numFmtId="0" fontId="0" fillId="2" borderId="6" xfId="0" applyFont="1" applyFill="1" applyBorder="1" applyAlignment="1">
      <alignment wrapText="1"/>
    </xf>
    <xf numFmtId="9" fontId="0" fillId="2" borderId="6" xfId="2" applyFont="1" applyFill="1" applyBorder="1" applyAlignment="1">
      <alignment wrapText="1"/>
    </xf>
    <xf numFmtId="0" fontId="3" fillId="19" borderId="12" xfId="0" applyFont="1" applyFill="1" applyBorder="1" applyAlignment="1"/>
    <xf numFmtId="0" fontId="3" fillId="10" borderId="12" xfId="0" applyFont="1" applyFill="1" applyBorder="1" applyAlignment="1">
      <alignment horizontal="left"/>
    </xf>
    <xf numFmtId="0" fontId="0" fillId="10" borderId="12" xfId="0" applyFill="1" applyBorder="1" applyAlignment="1">
      <alignment horizontal="left"/>
    </xf>
    <xf numFmtId="0" fontId="0" fillId="10" borderId="12" xfId="0" applyFont="1" applyFill="1" applyBorder="1" applyAlignment="1">
      <alignment horizontal="left"/>
    </xf>
    <xf numFmtId="0" fontId="0" fillId="2" borderId="0" xfId="0" applyFont="1" applyFill="1" applyBorder="1" applyAlignment="1">
      <alignment horizontal="left" wrapText="1" indent="1"/>
    </xf>
    <xf numFmtId="0" fontId="3" fillId="2" borderId="0" xfId="0" applyFont="1" applyFill="1" applyBorder="1" applyAlignment="1">
      <alignment horizontal="left" wrapText="1" indent="1"/>
    </xf>
    <xf numFmtId="0" fontId="0" fillId="2" borderId="6" xfId="0" applyFill="1" applyBorder="1" applyAlignment="1">
      <alignment horizontal="left" indent="1"/>
    </xf>
    <xf numFmtId="0" fontId="0" fillId="10" borderId="12" xfId="0" applyFill="1" applyBorder="1" applyAlignment="1">
      <alignment horizontal="left" indent="1"/>
    </xf>
    <xf numFmtId="166" fontId="0" fillId="10" borderId="12" xfId="2" applyNumberFormat="1" applyFont="1" applyFill="1" applyBorder="1"/>
    <xf numFmtId="0" fontId="0" fillId="10" borderId="10" xfId="0" applyFill="1" applyBorder="1" applyAlignment="1">
      <alignment horizontal="left"/>
    </xf>
    <xf numFmtId="0" fontId="3" fillId="10" borderId="10" xfId="0" applyFont="1" applyFill="1" applyBorder="1" applyAlignment="1">
      <alignment horizontal="left"/>
    </xf>
    <xf numFmtId="9" fontId="0" fillId="10" borderId="1" xfId="0" applyNumberFormat="1" applyFont="1" applyFill="1" applyBorder="1" applyAlignment="1">
      <alignment wrapText="1"/>
    </xf>
    <xf numFmtId="0" fontId="3" fillId="10" borderId="1" xfId="0" applyFont="1" applyFill="1" applyBorder="1" applyAlignment="1">
      <alignment vertical="center" wrapText="1"/>
    </xf>
    <xf numFmtId="0" fontId="3" fillId="10" borderId="1" xfId="0" applyFont="1" applyFill="1" applyBorder="1" applyAlignment="1">
      <alignment horizontal="left" vertical="center" wrapText="1"/>
    </xf>
    <xf numFmtId="0" fontId="0" fillId="2" borderId="0" xfId="0" applyFill="1" applyAlignment="1">
      <alignment vertical="center"/>
    </xf>
    <xf numFmtId="0" fontId="28" fillId="2" borderId="0" xfId="0" applyFont="1" applyFill="1" applyAlignment="1">
      <alignment horizontal="center"/>
    </xf>
    <xf numFmtId="0" fontId="29" fillId="2" borderId="0" xfId="0" applyFont="1" applyFill="1"/>
    <xf numFmtId="166" fontId="0" fillId="7" borderId="1" xfId="1" applyNumberFormat="1" applyFont="1" applyFill="1" applyBorder="1"/>
    <xf numFmtId="166" fontId="3" fillId="7" borderId="1" xfId="1" applyNumberFormat="1" applyFont="1" applyFill="1" applyBorder="1"/>
    <xf numFmtId="0" fontId="3" fillId="20" borderId="2" xfId="0" applyFont="1" applyFill="1" applyBorder="1"/>
    <xf numFmtId="0" fontId="3" fillId="20" borderId="5" xfId="0" applyFont="1" applyFill="1" applyBorder="1"/>
    <xf numFmtId="166" fontId="0" fillId="10" borderId="6" xfId="1" applyNumberFormat="1" applyFont="1" applyFill="1" applyBorder="1"/>
    <xf numFmtId="0" fontId="3" fillId="20" borderId="7" xfId="0" applyFont="1" applyFill="1" applyBorder="1"/>
    <xf numFmtId="166" fontId="0" fillId="10" borderId="8" xfId="1" applyNumberFormat="1" applyFont="1" applyFill="1" applyBorder="1"/>
    <xf numFmtId="166" fontId="0" fillId="10" borderId="9" xfId="1" applyNumberFormat="1" applyFont="1" applyFill="1" applyBorder="1"/>
    <xf numFmtId="0" fontId="3" fillId="19" borderId="10" xfId="0" applyFont="1" applyFill="1" applyBorder="1" applyAlignment="1">
      <alignment horizontal="center" wrapText="1"/>
    </xf>
    <xf numFmtId="0" fontId="3" fillId="19" borderId="11" xfId="0" applyFont="1" applyFill="1" applyBorder="1" applyAlignment="1">
      <alignment horizontal="center" wrapText="1"/>
    </xf>
    <xf numFmtId="0" fontId="3" fillId="19" borderId="12" xfId="0" applyFont="1" applyFill="1" applyBorder="1" applyAlignment="1">
      <alignment horizontal="center" wrapText="1"/>
    </xf>
    <xf numFmtId="0" fontId="30" fillId="2" borderId="0" xfId="0" applyFont="1" applyFill="1"/>
    <xf numFmtId="166" fontId="0" fillId="2" borderId="0" xfId="1" applyNumberFormat="1" applyFont="1" applyFill="1" applyBorder="1" applyAlignment="1">
      <alignment horizontal="center" vertical="center"/>
    </xf>
    <xf numFmtId="168" fontId="0" fillId="10" borderId="6" xfId="1" applyNumberFormat="1" applyFont="1" applyFill="1" applyBorder="1"/>
    <xf numFmtId="169" fontId="0" fillId="10" borderId="6" xfId="1" applyNumberFormat="1" applyFont="1" applyFill="1" applyBorder="1"/>
    <xf numFmtId="165" fontId="0" fillId="10" borderId="9" xfId="0" applyNumberFormat="1" applyFont="1" applyFill="1" applyBorder="1"/>
    <xf numFmtId="164" fontId="0" fillId="2" borderId="1" xfId="0" applyNumberFormat="1" applyFill="1" applyBorder="1"/>
    <xf numFmtId="165" fontId="3" fillId="18" borderId="63" xfId="0" applyNumberFormat="1" applyFont="1" applyFill="1" applyBorder="1" applyAlignment="1">
      <alignment horizontal="center" vertical="center" wrapText="1"/>
    </xf>
    <xf numFmtId="0" fontId="3" fillId="18" borderId="1" xfId="0" applyFont="1" applyFill="1" applyBorder="1" applyAlignment="1">
      <alignment horizontal="center" vertical="center" wrapText="1"/>
    </xf>
    <xf numFmtId="165" fontId="3" fillId="18" borderId="1" xfId="0" applyNumberFormat="1" applyFont="1" applyFill="1" applyBorder="1" applyAlignment="1">
      <alignment horizontal="center" vertical="center" wrapText="1"/>
    </xf>
    <xf numFmtId="165" fontId="3" fillId="18" borderId="1" xfId="0" applyNumberFormat="1" applyFont="1" applyFill="1" applyBorder="1" applyAlignment="1">
      <alignment horizontal="center" wrapText="1"/>
    </xf>
    <xf numFmtId="165" fontId="3" fillId="18" borderId="64" xfId="0" applyNumberFormat="1" applyFont="1" applyFill="1" applyBorder="1" applyAlignment="1">
      <alignment horizontal="center" vertical="center" wrapText="1"/>
    </xf>
    <xf numFmtId="0" fontId="0" fillId="2" borderId="15" xfId="0" applyFill="1" applyBorder="1"/>
    <xf numFmtId="0" fontId="0" fillId="16" borderId="1" xfId="0" applyFill="1" applyBorder="1"/>
    <xf numFmtId="0" fontId="0" fillId="2" borderId="5" xfId="0" applyFill="1" applyBorder="1" applyAlignment="1">
      <alignment horizontal="center" vertical="center"/>
    </xf>
    <xf numFmtId="0" fontId="0" fillId="2" borderId="11" xfId="3" applyFont="1" applyFill="1" applyBorder="1"/>
    <xf numFmtId="166" fontId="0" fillId="2" borderId="11" xfId="1" applyNumberFormat="1" applyFont="1" applyFill="1" applyBorder="1" applyAlignment="1">
      <alignment horizontal="center" vertical="center"/>
    </xf>
    <xf numFmtId="166" fontId="0" fillId="16" borderId="1" xfId="1" applyNumberFormat="1" applyFont="1" applyFill="1" applyBorder="1" applyAlignment="1">
      <alignment horizontal="center" vertical="center"/>
    </xf>
    <xf numFmtId="166" fontId="0" fillId="16" borderId="1" xfId="0" applyNumberFormat="1" applyFill="1" applyBorder="1"/>
    <xf numFmtId="164" fontId="0" fillId="16" borderId="1" xfId="0" applyNumberFormat="1" applyFill="1" applyBorder="1"/>
    <xf numFmtId="0" fontId="0" fillId="16" borderId="1" xfId="3" applyFont="1" applyFill="1" applyBorder="1"/>
    <xf numFmtId="164" fontId="0" fillId="10" borderId="1" xfId="0" applyNumberFormat="1" applyFill="1" applyBorder="1" applyAlignment="1">
      <alignment horizontal="left" indent="2"/>
    </xf>
    <xf numFmtId="2" fontId="0" fillId="16" borderId="1" xfId="0" applyNumberFormat="1" applyFill="1" applyBorder="1"/>
    <xf numFmtId="0" fontId="0" fillId="2" borderId="0" xfId="3" applyFont="1" applyFill="1" applyBorder="1"/>
    <xf numFmtId="1" fontId="0" fillId="10" borderId="5" xfId="0" applyNumberFormat="1" applyFont="1" applyFill="1" applyBorder="1" applyAlignment="1">
      <alignment horizontal="left" vertical="center" indent="1"/>
    </xf>
    <xf numFmtId="1" fontId="0" fillId="10" borderId="7" xfId="0" applyNumberFormat="1" applyFont="1" applyFill="1" applyBorder="1" applyAlignment="1">
      <alignment horizontal="left" vertical="center" indent="1"/>
    </xf>
    <xf numFmtId="0" fontId="0" fillId="10" borderId="3" xfId="0" applyFill="1" applyBorder="1"/>
    <xf numFmtId="0" fontId="0" fillId="10" borderId="8" xfId="0" applyFill="1" applyBorder="1"/>
    <xf numFmtId="0" fontId="31" fillId="2" borderId="0" xfId="0" applyFont="1" applyFill="1"/>
    <xf numFmtId="0" fontId="0" fillId="7" borderId="48" xfId="0" applyFill="1" applyBorder="1"/>
    <xf numFmtId="0" fontId="0" fillId="7" borderId="49" xfId="0" applyFont="1" applyFill="1" applyBorder="1" applyAlignment="1">
      <alignment horizontal="left"/>
    </xf>
    <xf numFmtId="0" fontId="0" fillId="7" borderId="49" xfId="0" applyFill="1" applyBorder="1"/>
    <xf numFmtId="164" fontId="0" fillId="7" borderId="49" xfId="0" applyNumberFormat="1" applyFill="1" applyBorder="1"/>
    <xf numFmtId="164" fontId="0" fillId="7" borderId="50" xfId="0" applyNumberFormat="1" applyFill="1" applyBorder="1"/>
    <xf numFmtId="3" fontId="0" fillId="2" borderId="1" xfId="0" applyNumberFormat="1" applyFill="1" applyBorder="1" applyAlignment="1">
      <alignment horizontal="center"/>
    </xf>
    <xf numFmtId="3" fontId="3" fillId="8" borderId="7" xfId="0" applyNumberFormat="1" applyFont="1" applyFill="1" applyBorder="1" applyAlignment="1">
      <alignment horizontal="center"/>
    </xf>
    <xf numFmtId="3" fontId="0" fillId="9" borderId="1" xfId="0" applyNumberFormat="1" applyFill="1" applyBorder="1" applyAlignment="1">
      <alignment horizontal="left" indent="1"/>
    </xf>
    <xf numFmtId="3" fontId="0" fillId="9" borderId="1" xfId="0" applyNumberFormat="1" applyFill="1" applyBorder="1" applyAlignment="1">
      <alignment horizontal="center"/>
    </xf>
    <xf numFmtId="3" fontId="0" fillId="2" borderId="7" xfId="0" applyNumberFormat="1" applyFill="1" applyBorder="1" applyAlignment="1">
      <alignment horizontal="center"/>
    </xf>
    <xf numFmtId="0" fontId="0" fillId="2" borderId="0" xfId="0" applyFill="1" applyAlignment="1">
      <alignment horizontal="center"/>
    </xf>
    <xf numFmtId="0" fontId="29" fillId="2" borderId="0" xfId="0" applyFont="1" applyFill="1" applyAlignment="1">
      <alignment horizontal="center"/>
    </xf>
    <xf numFmtId="0" fontId="3" fillId="5" borderId="11" xfId="0" applyFont="1" applyFill="1" applyBorder="1" applyAlignment="1">
      <alignment horizontal="center"/>
    </xf>
    <xf numFmtId="165" fontId="0" fillId="2" borderId="7" xfId="0" applyNumberFormat="1" applyFill="1" applyBorder="1" applyAlignment="1">
      <alignment horizontal="center"/>
    </xf>
    <xf numFmtId="0" fontId="3" fillId="4" borderId="1" xfId="0" applyFont="1" applyFill="1" applyBorder="1" applyAlignment="1">
      <alignment horizontal="center"/>
    </xf>
    <xf numFmtId="3" fontId="0" fillId="2" borderId="0" xfId="0" applyNumberFormat="1" applyFill="1" applyBorder="1" applyAlignment="1">
      <alignment horizontal="center"/>
    </xf>
    <xf numFmtId="3" fontId="0" fillId="2" borderId="0" xfId="0" applyNumberFormat="1" applyFill="1" applyAlignment="1">
      <alignment horizontal="center"/>
    </xf>
    <xf numFmtId="3" fontId="3" fillId="8" borderId="10" xfId="0" applyNumberFormat="1" applyFont="1" applyFill="1" applyBorder="1" applyAlignment="1">
      <alignment horizontal="center"/>
    </xf>
    <xf numFmtId="3" fontId="3" fillId="8" borderId="1" xfId="0" applyNumberFormat="1" applyFont="1" applyFill="1" applyBorder="1" applyAlignment="1">
      <alignment horizontal="center"/>
    </xf>
    <xf numFmtId="0" fontId="8" fillId="2" borderId="0" xfId="5" applyFill="1" applyAlignment="1">
      <alignment vertical="center"/>
    </xf>
    <xf numFmtId="166" fontId="0" fillId="0" borderId="0" xfId="1" applyNumberFormat="1" applyFont="1"/>
    <xf numFmtId="166" fontId="0" fillId="0" borderId="0" xfId="0" applyNumberFormat="1"/>
    <xf numFmtId="0" fontId="0" fillId="0" borderId="0" xfId="0" applyAlignment="1">
      <alignment horizontal="left" indent="3"/>
    </xf>
    <xf numFmtId="0" fontId="0" fillId="0" borderId="0" xfId="0" applyFill="1"/>
    <xf numFmtId="0" fontId="3" fillId="0" borderId="0" xfId="0" applyFont="1" applyFill="1" applyBorder="1" applyAlignment="1">
      <alignment wrapText="1"/>
    </xf>
    <xf numFmtId="0" fontId="0" fillId="0" borderId="0" xfId="0" applyAlignment="1">
      <alignment horizontal="center"/>
    </xf>
    <xf numFmtId="0" fontId="0" fillId="20" borderId="38" xfId="0" applyFill="1" applyBorder="1" applyAlignment="1">
      <alignment horizontal="left" indent="3"/>
    </xf>
    <xf numFmtId="4" fontId="0" fillId="20" borderId="39" xfId="0" applyNumberFormat="1" applyFill="1" applyBorder="1" applyAlignment="1">
      <alignment horizontal="center"/>
    </xf>
    <xf numFmtId="0" fontId="0" fillId="20" borderId="40" xfId="0" applyFill="1" applyBorder="1" applyAlignment="1">
      <alignment horizontal="left" indent="3"/>
    </xf>
    <xf numFmtId="4" fontId="0" fillId="20" borderId="42" xfId="0" applyNumberFormat="1" applyFill="1" applyBorder="1" applyAlignment="1">
      <alignment horizontal="center"/>
    </xf>
    <xf numFmtId="166" fontId="0" fillId="0" borderId="41" xfId="1" applyNumberFormat="1" applyFont="1" applyBorder="1"/>
    <xf numFmtId="166" fontId="0" fillId="0" borderId="42" xfId="1" applyNumberFormat="1" applyFont="1" applyBorder="1"/>
    <xf numFmtId="0" fontId="0" fillId="0" borderId="35" xfId="0" applyBorder="1" applyAlignment="1">
      <alignment horizontal="left" indent="3"/>
    </xf>
    <xf numFmtId="0" fontId="0" fillId="0" borderId="36" xfId="0" applyBorder="1" applyAlignment="1">
      <alignment horizontal="left" indent="3"/>
    </xf>
    <xf numFmtId="166" fontId="0" fillId="0" borderId="36" xfId="1" applyNumberFormat="1" applyFont="1" applyBorder="1"/>
    <xf numFmtId="166" fontId="0" fillId="0" borderId="37" xfId="1" applyNumberFormat="1" applyFont="1" applyBorder="1"/>
    <xf numFmtId="0" fontId="0" fillId="0" borderId="38" xfId="0" applyBorder="1" applyAlignment="1">
      <alignment horizontal="left" indent="3"/>
    </xf>
    <xf numFmtId="0" fontId="0" fillId="0" borderId="0" xfId="0" applyBorder="1" applyAlignment="1">
      <alignment horizontal="left" indent="3"/>
    </xf>
    <xf numFmtId="166" fontId="0" fillId="0" borderId="0" xfId="1" applyNumberFormat="1" applyFont="1" applyBorder="1"/>
    <xf numFmtId="166" fontId="0" fillId="0" borderId="39" xfId="1" applyNumberFormat="1" applyFont="1" applyBorder="1"/>
    <xf numFmtId="0" fontId="0" fillId="0" borderId="40" xfId="0" applyBorder="1" applyAlignment="1">
      <alignment horizontal="left" indent="3"/>
    </xf>
    <xf numFmtId="0" fontId="0" fillId="0" borderId="41" xfId="0" applyBorder="1" applyAlignment="1">
      <alignment horizontal="left" indent="3"/>
    </xf>
    <xf numFmtId="0" fontId="0" fillId="21" borderId="40" xfId="0" applyFill="1" applyBorder="1"/>
    <xf numFmtId="0" fontId="0" fillId="21" borderId="41" xfId="0" applyFill="1" applyBorder="1"/>
    <xf numFmtId="166" fontId="0" fillId="21" borderId="41" xfId="1" applyNumberFormat="1" applyFont="1" applyFill="1" applyBorder="1"/>
    <xf numFmtId="166" fontId="0" fillId="21" borderId="42" xfId="1" applyNumberFormat="1" applyFont="1" applyFill="1" applyBorder="1"/>
    <xf numFmtId="0" fontId="0" fillId="7" borderId="16" xfId="0" applyFill="1" applyBorder="1"/>
    <xf numFmtId="0" fontId="0" fillId="7" borderId="65" xfId="0" applyFill="1" applyBorder="1" applyAlignment="1">
      <alignment horizontal="center"/>
    </xf>
    <xf numFmtId="166" fontId="0" fillId="7" borderId="65" xfId="0" applyNumberFormat="1" applyFill="1" applyBorder="1"/>
    <xf numFmtId="166" fontId="0" fillId="7" borderId="17" xfId="0" applyNumberFormat="1" applyFill="1" applyBorder="1"/>
    <xf numFmtId="0" fontId="0" fillId="22" borderId="16" xfId="0" applyFill="1" applyBorder="1"/>
    <xf numFmtId="4" fontId="0" fillId="22" borderId="65" xfId="0" applyNumberFormat="1" applyFill="1" applyBorder="1" applyAlignment="1">
      <alignment horizontal="center"/>
    </xf>
    <xf numFmtId="166" fontId="0" fillId="22" borderId="17" xfId="0" applyNumberFormat="1" applyFill="1" applyBorder="1"/>
    <xf numFmtId="0" fontId="11" fillId="0" borderId="0" xfId="0" applyFont="1"/>
    <xf numFmtId="0" fontId="0" fillId="20" borderId="0" xfId="0" applyFill="1" applyBorder="1" applyAlignment="1">
      <alignment horizontal="left" indent="3"/>
    </xf>
    <xf numFmtId="3" fontId="3" fillId="0" borderId="0" xfId="0" applyNumberFormat="1" applyFont="1" applyFill="1" applyBorder="1" applyAlignment="1">
      <alignment wrapText="1"/>
    </xf>
    <xf numFmtId="3" fontId="0" fillId="0" borderId="0" xfId="0" applyNumberFormat="1" applyFill="1"/>
    <xf numFmtId="0" fontId="3" fillId="19" borderId="35" xfId="0" applyFont="1" applyFill="1" applyBorder="1"/>
    <xf numFmtId="0" fontId="3" fillId="19" borderId="37" xfId="0" applyFont="1" applyFill="1" applyBorder="1" applyAlignment="1">
      <alignment horizontal="center"/>
    </xf>
    <xf numFmtId="0" fontId="0" fillId="20" borderId="35" xfId="0" applyFill="1" applyBorder="1" applyAlignment="1">
      <alignment horizontal="left" indent="3"/>
    </xf>
    <xf numFmtId="0" fontId="0" fillId="20" borderId="36" xfId="0" applyFill="1" applyBorder="1" applyAlignment="1">
      <alignment horizontal="left" indent="3"/>
    </xf>
    <xf numFmtId="4" fontId="0" fillId="20" borderId="37" xfId="0" applyNumberFormat="1" applyFill="1" applyBorder="1" applyAlignment="1">
      <alignment horizontal="center"/>
    </xf>
    <xf numFmtId="0" fontId="0" fillId="20" borderId="41" xfId="0" applyFill="1" applyBorder="1" applyAlignment="1">
      <alignment horizontal="left" indent="3"/>
    </xf>
    <xf numFmtId="0" fontId="32" fillId="2" borderId="0" xfId="0" applyFont="1" applyFill="1" applyAlignment="1">
      <alignment horizontal="center"/>
    </xf>
    <xf numFmtId="0" fontId="8" fillId="2" borderId="0" xfId="5" applyFill="1"/>
    <xf numFmtId="166" fontId="0" fillId="2" borderId="1" xfId="1" applyNumberFormat="1" applyFont="1" applyFill="1" applyBorder="1" applyAlignment="1">
      <alignment horizontal="center" vertical="center"/>
    </xf>
    <xf numFmtId="166" fontId="0" fillId="2" borderId="15" xfId="1" applyNumberFormat="1" applyFont="1" applyFill="1" applyBorder="1" applyAlignment="1">
      <alignment vertical="center"/>
    </xf>
    <xf numFmtId="166" fontId="0" fillId="2" borderId="14" xfId="1" applyNumberFormat="1" applyFont="1" applyFill="1" applyBorder="1" applyAlignment="1">
      <alignment vertical="center"/>
    </xf>
    <xf numFmtId="0" fontId="3" fillId="10" borderId="35" xfId="0" applyFont="1" applyFill="1" applyBorder="1" applyAlignment="1">
      <alignment vertical="top"/>
    </xf>
    <xf numFmtId="0" fontId="3" fillId="10" borderId="36" xfId="0" applyFont="1" applyFill="1" applyBorder="1" applyAlignment="1">
      <alignment vertical="top"/>
    </xf>
    <xf numFmtId="0" fontId="0" fillId="10" borderId="38" xfId="0" applyFill="1" applyBorder="1" applyAlignment="1">
      <alignment horizontal="left" vertical="top" wrapText="1"/>
    </xf>
    <xf numFmtId="0" fontId="0" fillId="10" borderId="0" xfId="0" applyFill="1" applyBorder="1" applyAlignment="1">
      <alignment horizontal="left" vertical="top" wrapText="1"/>
    </xf>
    <xf numFmtId="0" fontId="0" fillId="10" borderId="38" xfId="0" applyFill="1" applyBorder="1"/>
    <xf numFmtId="0" fontId="0" fillId="10" borderId="0" xfId="0" applyFill="1" applyBorder="1"/>
    <xf numFmtId="0" fontId="3" fillId="10" borderId="38" xfId="0" applyFont="1" applyFill="1" applyBorder="1" applyAlignment="1">
      <alignment horizontal="left" vertical="top" wrapText="1"/>
    </xf>
    <xf numFmtId="0" fontId="3" fillId="10" borderId="0" xfId="0" applyFont="1" applyFill="1" applyBorder="1" applyAlignment="1">
      <alignment horizontal="left" vertical="top" wrapText="1"/>
    </xf>
    <xf numFmtId="0" fontId="3" fillId="10" borderId="40" xfId="0" applyFont="1" applyFill="1" applyBorder="1" applyAlignment="1">
      <alignment horizontal="left" vertical="top" wrapText="1"/>
    </xf>
    <xf numFmtId="0" fontId="3" fillId="10" borderId="41" xfId="0" applyFont="1" applyFill="1" applyBorder="1" applyAlignment="1">
      <alignment horizontal="left" vertical="top" wrapText="1"/>
    </xf>
    <xf numFmtId="166" fontId="0" fillId="2" borderId="15" xfId="1" applyNumberFormat="1" applyFont="1" applyFill="1" applyBorder="1" applyAlignment="1">
      <alignment horizontal="center" vertical="center"/>
    </xf>
    <xf numFmtId="166" fontId="0" fillId="2" borderId="14" xfId="1" applyNumberFormat="1" applyFont="1" applyFill="1" applyBorder="1" applyAlignment="1">
      <alignment horizontal="center" vertical="center"/>
    </xf>
    <xf numFmtId="0" fontId="0" fillId="16" borderId="15" xfId="0" applyFill="1" applyBorder="1" applyAlignment="1">
      <alignment horizontal="center" vertical="center"/>
    </xf>
    <xf numFmtId="0" fontId="0" fillId="16" borderId="13" xfId="0" applyFill="1" applyBorder="1" applyAlignment="1">
      <alignment horizontal="center" vertical="center"/>
    </xf>
    <xf numFmtId="0" fontId="0" fillId="16" borderId="14" xfId="0" applyFill="1" applyBorder="1" applyAlignment="1">
      <alignment horizontal="center" vertical="center"/>
    </xf>
    <xf numFmtId="0" fontId="3" fillId="10" borderId="10" xfId="0" applyFont="1" applyFill="1" applyBorder="1" applyAlignment="1">
      <alignment horizontal="center" vertical="top" wrapText="1"/>
    </xf>
    <xf numFmtId="0" fontId="3" fillId="10" borderId="11" xfId="0" applyFont="1" applyFill="1" applyBorder="1" applyAlignment="1">
      <alignment horizontal="center" vertical="top" wrapText="1"/>
    </xf>
    <xf numFmtId="0" fontId="3" fillId="10" borderId="12" xfId="0" applyFont="1" applyFill="1" applyBorder="1" applyAlignment="1">
      <alignment horizontal="center" vertical="top" wrapText="1"/>
    </xf>
    <xf numFmtId="0" fontId="3" fillId="10" borderId="10" xfId="0" applyFont="1" applyFill="1" applyBorder="1" applyAlignment="1">
      <alignment horizontal="center" vertical="center" wrapText="1"/>
    </xf>
    <xf numFmtId="0" fontId="3" fillId="10" borderId="12" xfId="0" applyFont="1" applyFill="1" applyBorder="1" applyAlignment="1">
      <alignment horizontal="center" vertical="center" wrapText="1"/>
    </xf>
    <xf numFmtId="0" fontId="3" fillId="8" borderId="10" xfId="0" applyFont="1" applyFill="1" applyBorder="1" applyAlignment="1">
      <alignment horizontal="center"/>
    </xf>
    <xf numFmtId="0" fontId="3" fillId="8" borderId="12" xfId="0" applyFont="1" applyFill="1" applyBorder="1" applyAlignment="1">
      <alignment horizontal="center"/>
    </xf>
  </cellXfs>
  <cellStyles count="6">
    <cellStyle name="Hipervínculo" xfId="5" builtinId="8"/>
    <cellStyle name="Millares" xfId="1" builtinId="3"/>
    <cellStyle name="Normal" xfId="0" builtinId="0"/>
    <cellStyle name="Normal 2" xfId="3"/>
    <cellStyle name="Normal 3" xfId="4"/>
    <cellStyle name="Porcentaje" xfId="2" builtinId="5"/>
  </cellStyles>
  <dxfs count="0"/>
  <tableStyles count="0" defaultTableStyle="TableStyleMedium2" defaultPivotStyle="PivotStyleLight16"/>
  <colors>
    <mruColors>
      <color rgb="FF996633"/>
      <color rgb="FFFBAA85"/>
      <color rgb="FFFF0000"/>
      <color rgb="FFFFC50D"/>
      <color rgb="FFFF6600"/>
      <color rgb="FF71C5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Electricity generation</a:t>
            </a:r>
          </a:p>
          <a:p>
            <a:pPr>
              <a:defRPr/>
            </a:pPr>
            <a:r>
              <a:rPr lang="en-US"/>
              <a:t>[MWh]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lineChart>
        <c:grouping val="standard"/>
        <c:varyColors val="0"/>
        <c:ser>
          <c:idx val="0"/>
          <c:order val="0"/>
          <c:tx>
            <c:v>Current electricity demand</c:v>
          </c:tx>
          <c:spPr>
            <a:ln w="28575" cap="rnd">
              <a:solidFill>
                <a:schemeClr val="accent2"/>
              </a:solidFill>
              <a:round/>
            </a:ln>
            <a:effectLst/>
          </c:spPr>
          <c:marker>
            <c:symbol val="none"/>
          </c:marker>
          <c:val>
            <c:numRef>
              <c:f>'Grid-EF'!$F$26:$AB$26</c:f>
              <c:numCache>
                <c:formatCode>_(* #,##0_);_(* \(#,##0\);_(* "-"??_);_(@_)</c:formatCode>
                <c:ptCount val="23"/>
                <c:pt idx="0">
                  <c:v>5360464.508835</c:v>
                </c:pt>
                <c:pt idx="1">
                  <c:v>5632658.0872996207</c:v>
                </c:pt>
                <c:pt idx="2">
                  <c:v>6085440.8650679979</c:v>
                </c:pt>
                <c:pt idx="3">
                  <c:v>6592941.5332300002</c:v>
                </c:pt>
                <c:pt idx="4">
                  <c:v>6861925.925946651</c:v>
                </c:pt>
                <c:pt idx="5">
                  <c:v>7286833.0360245043</c:v>
                </c:pt>
                <c:pt idx="6">
                  <c:v>7743488.7027113661</c:v>
                </c:pt>
                <c:pt idx="7">
                  <c:v>8248316.8230674472</c:v>
                </c:pt>
                <c:pt idx="8">
                  <c:v>8669522.2586782202</c:v>
                </c:pt>
                <c:pt idx="9">
                  <c:v>8891442.873232197</c:v>
                </c:pt>
                <c:pt idx="10">
                  <c:v>9475504.2714120056</c:v>
                </c:pt>
                <c:pt idx="11">
                  <c:v>10272542.997405021</c:v>
                </c:pt>
                <c:pt idx="12">
                  <c:v>11094235.451978354</c:v>
                </c:pt>
                <c:pt idx="13">
                  <c:v>12258198.966666665</c:v>
                </c:pt>
                <c:pt idx="14">
                  <c:v>13030525.039583333</c:v>
                </c:pt>
                <c:pt idx="15">
                  <c:v>13845837.539583335</c:v>
                </c:pt>
                <c:pt idx="16">
                  <c:v>14707379.206249999</c:v>
                </c:pt>
                <c:pt idx="17">
                  <c:v>15617618.789583329</c:v>
                </c:pt>
                <c:pt idx="18">
                  <c:v>16579097.956250001</c:v>
                </c:pt>
                <c:pt idx="19">
                  <c:v>17594545.872916669</c:v>
                </c:pt>
                <c:pt idx="20">
                  <c:v>18666816.706250004</c:v>
                </c:pt>
                <c:pt idx="21">
                  <c:v>19798900.039583337</c:v>
                </c:pt>
                <c:pt idx="22">
                  <c:v>20993983.372916665</c:v>
                </c:pt>
              </c:numCache>
            </c:numRef>
          </c:val>
          <c:smooth val="0"/>
          <c:extLst>
            <c:ext xmlns:c16="http://schemas.microsoft.com/office/drawing/2014/chart" uri="{C3380CC4-5D6E-409C-BE32-E72D297353CC}">
              <c16:uniqueId val="{00000000-9FDC-44B7-9F65-088A88F17868}"/>
            </c:ext>
          </c:extLst>
        </c:ser>
        <c:ser>
          <c:idx val="1"/>
          <c:order val="1"/>
          <c:tx>
            <c:v>Nationally determined contribution</c:v>
          </c:tx>
          <c:spPr>
            <a:ln w="28575" cap="rnd">
              <a:solidFill>
                <a:schemeClr val="accent1"/>
              </a:solidFill>
              <a:round/>
            </a:ln>
            <a:effectLst/>
          </c:spPr>
          <c:marker>
            <c:symbol val="none"/>
          </c:marker>
          <c:val>
            <c:numRef>
              <c:f>'Grid-EF'!$F$32:$AB$32</c:f>
              <c:numCache>
                <c:formatCode>_(* #,##0_);_(* \(#,##0\);_(* "-"??_);_(@_)</c:formatCode>
                <c:ptCount val="23"/>
                <c:pt idx="0">
                  <c:v>5360464.508835</c:v>
                </c:pt>
                <c:pt idx="1">
                  <c:v>5632658.0872996207</c:v>
                </c:pt>
                <c:pt idx="2">
                  <c:v>6085440.8650679979</c:v>
                </c:pt>
                <c:pt idx="3">
                  <c:v>6592941.5332300002</c:v>
                </c:pt>
                <c:pt idx="4">
                  <c:v>6861925.925946651</c:v>
                </c:pt>
                <c:pt idx="5">
                  <c:v>7286833.0360245043</c:v>
                </c:pt>
                <c:pt idx="6">
                  <c:v>7743488.7027113661</c:v>
                </c:pt>
                <c:pt idx="7">
                  <c:v>8248316.8230674472</c:v>
                </c:pt>
                <c:pt idx="8">
                  <c:v>8669522.2586782202</c:v>
                </c:pt>
                <c:pt idx="9">
                  <c:v>8891442.873232197</c:v>
                </c:pt>
                <c:pt idx="10">
                  <c:v>9549855.4570679404</c:v>
                </c:pt>
                <c:pt idx="11">
                  <c:v>12726694.191623498</c:v>
                </c:pt>
                <c:pt idx="12">
                  <c:v>20759867.119263519</c:v>
                </c:pt>
                <c:pt idx="13">
                  <c:v>23042112.006337687</c:v>
                </c:pt>
                <c:pt idx="14">
                  <c:v>23042112.006337687</c:v>
                </c:pt>
                <c:pt idx="15">
                  <c:v>23786712.006337687</c:v>
                </c:pt>
                <c:pt idx="16">
                  <c:v>23786712.006337687</c:v>
                </c:pt>
                <c:pt idx="17">
                  <c:v>29883672.006337687</c:v>
                </c:pt>
                <c:pt idx="18">
                  <c:v>29883672.006337687</c:v>
                </c:pt>
                <c:pt idx="19">
                  <c:v>29883672.006337687</c:v>
                </c:pt>
                <c:pt idx="20">
                  <c:v>29883672.006337687</c:v>
                </c:pt>
                <c:pt idx="21">
                  <c:v>51889185.606337689</c:v>
                </c:pt>
                <c:pt idx="22">
                  <c:v>60514281.606337689</c:v>
                </c:pt>
              </c:numCache>
            </c:numRef>
          </c:val>
          <c:smooth val="0"/>
          <c:extLst>
            <c:ext xmlns:c16="http://schemas.microsoft.com/office/drawing/2014/chart" uri="{C3380CC4-5D6E-409C-BE32-E72D297353CC}">
              <c16:uniqueId val="{00000001-9FDC-44B7-9F65-088A88F17868}"/>
            </c:ext>
          </c:extLst>
        </c:ser>
        <c:ser>
          <c:idx val="2"/>
          <c:order val="2"/>
          <c:tx>
            <c:v>100% renewable energy generation</c:v>
          </c:tx>
          <c:spPr>
            <a:ln w="28575" cap="rnd">
              <a:solidFill>
                <a:schemeClr val="accent6"/>
              </a:solidFill>
              <a:round/>
            </a:ln>
            <a:effectLst/>
          </c:spPr>
          <c:marker>
            <c:symbol val="none"/>
          </c:marker>
          <c:val>
            <c:numRef>
              <c:f>'Grid-EF'!$F$38:$AB$38</c:f>
              <c:numCache>
                <c:formatCode>_(* #,##0_);_(* \(#,##0\);_(* "-"??_);_(@_)</c:formatCode>
                <c:ptCount val="23"/>
                <c:pt idx="0">
                  <c:v>5360464.508835</c:v>
                </c:pt>
                <c:pt idx="1">
                  <c:v>5632658.0872996207</c:v>
                </c:pt>
                <c:pt idx="2">
                  <c:v>6085440.8650679979</c:v>
                </c:pt>
                <c:pt idx="3">
                  <c:v>6592941.5332300002</c:v>
                </c:pt>
                <c:pt idx="4">
                  <c:v>6861925.925946651</c:v>
                </c:pt>
                <c:pt idx="5">
                  <c:v>7286833.0360245043</c:v>
                </c:pt>
                <c:pt idx="6">
                  <c:v>7743488.7027113661</c:v>
                </c:pt>
                <c:pt idx="7">
                  <c:v>8248316.8230674472</c:v>
                </c:pt>
                <c:pt idx="8">
                  <c:v>8669522.2586782202</c:v>
                </c:pt>
                <c:pt idx="9">
                  <c:v>8891442.873232197</c:v>
                </c:pt>
                <c:pt idx="10">
                  <c:v>9549855.4570679404</c:v>
                </c:pt>
                <c:pt idx="11">
                  <c:v>10217479.791623497</c:v>
                </c:pt>
                <c:pt idx="12">
                  <c:v>12491293.393663254</c:v>
                </c:pt>
                <c:pt idx="13">
                  <c:v>14744424.482910259</c:v>
                </c:pt>
                <c:pt idx="14">
                  <c:v>14776852.148918491</c:v>
                </c:pt>
                <c:pt idx="15">
                  <c:v>15509538.304188725</c:v>
                </c:pt>
                <c:pt idx="16">
                  <c:v>15506671.645339157</c:v>
                </c:pt>
                <c:pt idx="17">
                  <c:v>19215526.627007123</c:v>
                </c:pt>
                <c:pt idx="18">
                  <c:v>19212560.588306114</c:v>
                </c:pt>
                <c:pt idx="19">
                  <c:v>19212577.151614688</c:v>
                </c:pt>
                <c:pt idx="20">
                  <c:v>19213554.788975973</c:v>
                </c:pt>
                <c:pt idx="21">
                  <c:v>37975048.194992095</c:v>
                </c:pt>
                <c:pt idx="22">
                  <c:v>46600144.194992095</c:v>
                </c:pt>
              </c:numCache>
            </c:numRef>
          </c:val>
          <c:smooth val="0"/>
          <c:extLst>
            <c:ext xmlns:c16="http://schemas.microsoft.com/office/drawing/2014/chart" uri="{C3380CC4-5D6E-409C-BE32-E72D297353CC}">
              <c16:uniqueId val="{00000002-9FDC-44B7-9F65-088A88F17868}"/>
            </c:ext>
          </c:extLst>
        </c:ser>
        <c:dLbls>
          <c:showLegendKey val="0"/>
          <c:showVal val="0"/>
          <c:showCatName val="0"/>
          <c:showSerName val="0"/>
          <c:showPercent val="0"/>
          <c:showBubbleSize val="0"/>
        </c:dLbls>
        <c:smooth val="0"/>
        <c:axId val="966206336"/>
        <c:axId val="763511208"/>
      </c:lineChart>
      <c:catAx>
        <c:axId val="96620633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763511208"/>
        <c:crosses val="autoZero"/>
        <c:auto val="1"/>
        <c:lblAlgn val="ctr"/>
        <c:lblOffset val="100"/>
        <c:noMultiLvlLbl val="0"/>
      </c:catAx>
      <c:valAx>
        <c:axId val="76351120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9662063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Average operating margin emission factor</a:t>
            </a:r>
          </a:p>
          <a:p>
            <a:pPr>
              <a:defRPr sz="1400" b="0" i="0" u="none" strike="noStrike" kern="1200" spc="0" baseline="0">
                <a:solidFill>
                  <a:schemeClr val="tx1">
                    <a:lumMod val="65000"/>
                    <a:lumOff val="35000"/>
                  </a:schemeClr>
                </a:solidFill>
                <a:latin typeface="+mn-lt"/>
                <a:ea typeface="+mn-ea"/>
                <a:cs typeface="+mn-cs"/>
              </a:defRPr>
            </a:pPr>
            <a:r>
              <a:rPr lang="en-US"/>
              <a:t>[tCO2/MWh]</a:t>
            </a:r>
          </a:p>
        </c:rich>
      </c:tx>
      <c:overlay val="0"/>
      <c:spPr>
        <a:noFill/>
        <a:ln>
          <a:noFill/>
        </a:ln>
        <a:effectLst/>
      </c:spPr>
    </c:title>
    <c:autoTitleDeleted val="0"/>
    <c:plotArea>
      <c:layout/>
      <c:lineChart>
        <c:grouping val="standard"/>
        <c:varyColors val="0"/>
        <c:ser>
          <c:idx val="0"/>
          <c:order val="0"/>
          <c:tx>
            <c:v>Current electricity demand</c:v>
          </c:tx>
          <c:spPr>
            <a:ln w="28575" cap="rnd">
              <a:solidFill>
                <a:schemeClr val="accent2"/>
              </a:solidFill>
              <a:round/>
            </a:ln>
            <a:effectLst/>
          </c:spPr>
          <c:marker>
            <c:symbol val="none"/>
          </c:marker>
          <c:val>
            <c:numRef>
              <c:f>'Grid-EF'!$F$27:$AB$27</c:f>
              <c:numCache>
                <c:formatCode>_(* #,##0.00_);_(* \(#,##0.00\);_(* "-"??_);_(@_)</c:formatCode>
                <c:ptCount val="23"/>
                <c:pt idx="0">
                  <c:v>0.34053725577278143</c:v>
                </c:pt>
                <c:pt idx="1">
                  <c:v>0.35836905522484996</c:v>
                </c:pt>
                <c:pt idx="2">
                  <c:v>0.3890598651268462</c:v>
                </c:pt>
                <c:pt idx="3">
                  <c:v>0.38881636387976309</c:v>
                </c:pt>
                <c:pt idx="4">
                  <c:v>0.41061499921819916</c:v>
                </c:pt>
                <c:pt idx="5">
                  <c:v>0.38133374857362462</c:v>
                </c:pt>
                <c:pt idx="6">
                  <c:v>0.41673904967390796</c:v>
                </c:pt>
                <c:pt idx="7">
                  <c:v>0.39789914864278025</c:v>
                </c:pt>
                <c:pt idx="8">
                  <c:v>0.46455989911712259</c:v>
                </c:pt>
                <c:pt idx="9">
                  <c:v>0.42261392631992878</c:v>
                </c:pt>
                <c:pt idx="10">
                  <c:v>0.37922468079458244</c:v>
                </c:pt>
                <c:pt idx="11">
                  <c:v>0.25220416966825393</c:v>
                </c:pt>
                <c:pt idx="12">
                  <c:v>0.24246080367599696</c:v>
                </c:pt>
                <c:pt idx="13">
                  <c:v>0.1839833027640673</c:v>
                </c:pt>
                <c:pt idx="14">
                  <c:v>0.19570253054609138</c:v>
                </c:pt>
                <c:pt idx="15">
                  <c:v>0.20665544850483192</c:v>
                </c:pt>
                <c:pt idx="16">
                  <c:v>0.21690981050531055</c:v>
                </c:pt>
                <c:pt idx="17">
                  <c:v>0.22706075470131476</c:v>
                </c:pt>
                <c:pt idx="18">
                  <c:v>0.24310236456761447</c:v>
                </c:pt>
                <c:pt idx="19">
                  <c:v>0.26259143501623383</c:v>
                </c:pt>
                <c:pt idx="20">
                  <c:v>0.28411956820898421</c:v>
                </c:pt>
                <c:pt idx="21">
                  <c:v>0.26918908986001283</c:v>
                </c:pt>
                <c:pt idx="22">
                  <c:v>0.27848853477706198</c:v>
                </c:pt>
              </c:numCache>
            </c:numRef>
          </c:val>
          <c:smooth val="0"/>
          <c:extLst>
            <c:ext xmlns:c16="http://schemas.microsoft.com/office/drawing/2014/chart" uri="{C3380CC4-5D6E-409C-BE32-E72D297353CC}">
              <c16:uniqueId val="{00000004-F749-4F55-B63F-E21762FB4CF9}"/>
            </c:ext>
          </c:extLst>
        </c:ser>
        <c:ser>
          <c:idx val="1"/>
          <c:order val="1"/>
          <c:tx>
            <c:v>Nationally determined contribution</c:v>
          </c:tx>
          <c:spPr>
            <a:ln w="28575" cap="rnd">
              <a:solidFill>
                <a:schemeClr val="accent1"/>
              </a:solidFill>
              <a:round/>
            </a:ln>
            <a:effectLst/>
          </c:spPr>
          <c:marker>
            <c:symbol val="none"/>
          </c:marker>
          <c:val>
            <c:numRef>
              <c:f>'Grid-EF'!$F$33:$AB$33</c:f>
              <c:numCache>
                <c:formatCode>_(* #,##0.00_);_(* \(#,##0.00\);_(* "-"??_);_(@_)</c:formatCode>
                <c:ptCount val="23"/>
                <c:pt idx="0">
                  <c:v>0.34053725577278143</c:v>
                </c:pt>
                <c:pt idx="1">
                  <c:v>0.35836905522484996</c:v>
                </c:pt>
                <c:pt idx="2">
                  <c:v>0.3890598651268462</c:v>
                </c:pt>
                <c:pt idx="3">
                  <c:v>0.38881636387976309</c:v>
                </c:pt>
                <c:pt idx="4">
                  <c:v>0.41061499921819916</c:v>
                </c:pt>
                <c:pt idx="5">
                  <c:v>0.38133374857362462</c:v>
                </c:pt>
                <c:pt idx="6">
                  <c:v>0.41673904967390796</c:v>
                </c:pt>
                <c:pt idx="7">
                  <c:v>0.39789914864278025</c:v>
                </c:pt>
                <c:pt idx="8">
                  <c:v>0.46455989911712259</c:v>
                </c:pt>
                <c:pt idx="9">
                  <c:v>0.42261392631992878</c:v>
                </c:pt>
                <c:pt idx="10">
                  <c:v>0.38211324773885369</c:v>
                </c:pt>
                <c:pt idx="11">
                  <c:v>0.36899911379814609</c:v>
                </c:pt>
                <c:pt idx="12">
                  <c:v>0.32068350652841604</c:v>
                </c:pt>
                <c:pt idx="13">
                  <c:v>0.28829527376671371</c:v>
                </c:pt>
                <c:pt idx="14">
                  <c:v>0.28829527376671371</c:v>
                </c:pt>
                <c:pt idx="15">
                  <c:v>0.27927071161665695</c:v>
                </c:pt>
                <c:pt idx="16">
                  <c:v>0.27927071161665695</c:v>
                </c:pt>
                <c:pt idx="17">
                  <c:v>0.22229302970604081</c:v>
                </c:pt>
                <c:pt idx="18">
                  <c:v>0.22229302970604081</c:v>
                </c:pt>
                <c:pt idx="19">
                  <c:v>0.22229302970604081</c:v>
                </c:pt>
                <c:pt idx="20">
                  <c:v>0.22229302970604081</c:v>
                </c:pt>
                <c:pt idx="21">
                  <c:v>0.12802151183153362</c:v>
                </c:pt>
                <c:pt idx="22">
                  <c:v>0.10977461539152911</c:v>
                </c:pt>
              </c:numCache>
            </c:numRef>
          </c:val>
          <c:smooth val="0"/>
          <c:extLst>
            <c:ext xmlns:c16="http://schemas.microsoft.com/office/drawing/2014/chart" uri="{C3380CC4-5D6E-409C-BE32-E72D297353CC}">
              <c16:uniqueId val="{00000006-F749-4F55-B63F-E21762FB4CF9}"/>
            </c:ext>
          </c:extLst>
        </c:ser>
        <c:ser>
          <c:idx val="2"/>
          <c:order val="2"/>
          <c:tx>
            <c:v>100% renewable energy generation</c:v>
          </c:tx>
          <c:spPr>
            <a:ln w="28575" cap="rnd">
              <a:solidFill>
                <a:schemeClr val="accent6"/>
              </a:solidFill>
              <a:round/>
            </a:ln>
            <a:effectLst/>
          </c:spPr>
          <c:marker>
            <c:symbol val="none"/>
          </c:marker>
          <c:val>
            <c:numRef>
              <c:f>'Grid-EF'!$F$39:$AB$39</c:f>
              <c:numCache>
                <c:formatCode>_(* #,##0.00_);_(* \(#,##0.00\);_(* "-"??_);_(@_)</c:formatCode>
                <c:ptCount val="23"/>
                <c:pt idx="0">
                  <c:v>0.34053725577278143</c:v>
                </c:pt>
                <c:pt idx="1">
                  <c:v>0.35836905522484996</c:v>
                </c:pt>
                <c:pt idx="2">
                  <c:v>0.3890598651268462</c:v>
                </c:pt>
                <c:pt idx="3">
                  <c:v>0.38881636387976309</c:v>
                </c:pt>
                <c:pt idx="4">
                  <c:v>0.41061499921819916</c:v>
                </c:pt>
                <c:pt idx="5">
                  <c:v>0.38133374857362462</c:v>
                </c:pt>
                <c:pt idx="6">
                  <c:v>0.41673904967390796</c:v>
                </c:pt>
                <c:pt idx="7">
                  <c:v>0.39789914864278025</c:v>
                </c:pt>
                <c:pt idx="8">
                  <c:v>0.46455989911712259</c:v>
                </c:pt>
                <c:pt idx="9">
                  <c:v>0.42261392631992878</c:v>
                </c:pt>
                <c:pt idx="10">
                  <c:v>0.38211324773885369</c:v>
                </c:pt>
                <c:pt idx="11">
                  <c:v>0.36587813723755713</c:v>
                </c:pt>
                <c:pt idx="12">
                  <c:v>0.25059805059026524</c:v>
                </c:pt>
                <c:pt idx="13">
                  <c:v>0.21026199790674616</c:v>
                </c:pt>
                <c:pt idx="14">
                  <c:v>0.21098388129331927</c:v>
                </c:pt>
                <c:pt idx="15">
                  <c:v>0.20060232970488617</c:v>
                </c:pt>
                <c:pt idx="16">
                  <c:v>0.20053990306616795</c:v>
                </c:pt>
                <c:pt idx="17">
                  <c:v>8.9362677422468673E-2</c:v>
                </c:pt>
                <c:pt idx="18">
                  <c:v>8.9293198478340233E-2</c:v>
                </c:pt>
                <c:pt idx="19">
                  <c:v>8.9293614523568862E-2</c:v>
                </c:pt>
                <c:pt idx="20">
                  <c:v>8.9316499177884937E-2</c:v>
                </c:pt>
                <c:pt idx="21">
                  <c:v>0</c:v>
                </c:pt>
                <c:pt idx="22">
                  <c:v>0</c:v>
                </c:pt>
              </c:numCache>
            </c:numRef>
          </c:val>
          <c:smooth val="0"/>
          <c:extLst>
            <c:ext xmlns:c16="http://schemas.microsoft.com/office/drawing/2014/chart" uri="{C3380CC4-5D6E-409C-BE32-E72D297353CC}">
              <c16:uniqueId val="{00000008-F749-4F55-B63F-E21762FB4CF9}"/>
            </c:ext>
          </c:extLst>
        </c:ser>
        <c:dLbls>
          <c:showLegendKey val="0"/>
          <c:showVal val="0"/>
          <c:showCatName val="0"/>
          <c:showSerName val="0"/>
          <c:showPercent val="0"/>
          <c:showBubbleSize val="0"/>
        </c:dLbls>
        <c:smooth val="0"/>
        <c:axId val="966206336"/>
        <c:axId val="763511208"/>
      </c:lineChart>
      <c:catAx>
        <c:axId val="96620633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763511208"/>
        <c:crosses val="autoZero"/>
        <c:auto val="1"/>
        <c:lblAlgn val="ctr"/>
        <c:lblOffset val="100"/>
        <c:noMultiLvlLbl val="0"/>
      </c:catAx>
      <c:valAx>
        <c:axId val="763511208"/>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966206336"/>
        <c:crosses val="autoZero"/>
        <c:crossBetween val="between"/>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extLst/>
  </c:chart>
  <c:txPr>
    <a:bodyPr/>
    <a:lstStyle/>
    <a:p>
      <a:pPr>
        <a:defRPr/>
      </a:pPr>
      <a:endParaRPr lang="es-MX"/>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a:t>Current</a:t>
            </a:r>
            <a:r>
              <a:rPr lang="en-US" sz="1800" b="1" baseline="0"/>
              <a:t> demand scenario</a:t>
            </a:r>
          </a:p>
          <a:p>
            <a:pPr>
              <a:defRPr/>
            </a:pPr>
            <a:r>
              <a:rPr lang="en-US" sz="1800" b="1" baseline="0"/>
              <a:t> Power generation by type of energy source </a:t>
            </a:r>
          </a:p>
          <a:p>
            <a:pPr>
              <a:defRPr/>
            </a:pPr>
            <a:r>
              <a:rPr lang="en-US" baseline="0"/>
              <a:t>[MWh]</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areaChart>
        <c:grouping val="stacked"/>
        <c:varyColors val="0"/>
        <c:ser>
          <c:idx val="0"/>
          <c:order val="0"/>
          <c:tx>
            <c:strRef>
              <c:f>Graphs!$D$8</c:f>
              <c:strCache>
                <c:ptCount val="1"/>
                <c:pt idx="0">
                  <c:v>Existing hydro</c:v>
                </c:pt>
              </c:strCache>
            </c:strRef>
          </c:tx>
          <c:spPr>
            <a:pattFill prst="ltDnDiag">
              <a:fgClr>
                <a:schemeClr val="accent1"/>
              </a:fgClr>
              <a:bgClr>
                <a:schemeClr val="bg1"/>
              </a:bgClr>
            </a:pattFill>
            <a:ln>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Graphs!$E$8:$Y$8</c:f>
              <c:numCache>
                <c:formatCode>_(* #,##0_);_(* \(#,##0\);_(* "-"??_);_(@_)</c:formatCode>
                <c:ptCount val="21"/>
                <c:pt idx="0">
                  <c:v>2151428.9800358461</c:v>
                </c:pt>
                <c:pt idx="1">
                  <c:v>2324105.4636729998</c:v>
                </c:pt>
                <c:pt idx="2">
                  <c:v>2322084.4652733332</c:v>
                </c:pt>
                <c:pt idx="3">
                  <c:v>2514863.618699627</c:v>
                </c:pt>
                <c:pt idx="4">
                  <c:v>2232992.8565350003</c:v>
                </c:pt>
                <c:pt idx="5">
                  <c:v>2439591.1513262745</c:v>
                </c:pt>
                <c:pt idx="6">
                  <c:v>1715604.4612500004</c:v>
                </c:pt>
                <c:pt idx="7">
                  <c:v>2229863.9013999989</c:v>
                </c:pt>
                <c:pt idx="8">
                  <c:v>2651238.9793254239</c:v>
                </c:pt>
                <c:pt idx="9">
                  <c:v>2640951.1156587573</c:v>
                </c:pt>
                <c:pt idx="10">
                  <c:v>2640951.1156587573</c:v>
                </c:pt>
                <c:pt idx="11">
                  <c:v>2640951.1156587573</c:v>
                </c:pt>
                <c:pt idx="12">
                  <c:v>2640951.1156587573</c:v>
                </c:pt>
                <c:pt idx="13">
                  <c:v>2640951.1156587573</c:v>
                </c:pt>
                <c:pt idx="14">
                  <c:v>2640951.1156587573</c:v>
                </c:pt>
                <c:pt idx="15">
                  <c:v>2640951.1156587573</c:v>
                </c:pt>
                <c:pt idx="16">
                  <c:v>2640951.1156587573</c:v>
                </c:pt>
                <c:pt idx="17">
                  <c:v>2640951.1156587573</c:v>
                </c:pt>
                <c:pt idx="18">
                  <c:v>2640951.1156587573</c:v>
                </c:pt>
                <c:pt idx="19">
                  <c:v>2640951.1156587573</c:v>
                </c:pt>
                <c:pt idx="20">
                  <c:v>2640951.1156587573</c:v>
                </c:pt>
              </c:numCache>
            </c:numRef>
          </c:val>
          <c:extLst>
            <c:ext xmlns:c16="http://schemas.microsoft.com/office/drawing/2014/chart" uri="{C3380CC4-5D6E-409C-BE32-E72D297353CC}">
              <c16:uniqueId val="{00000000-2BFF-4EBB-8B19-E2E5497ED4DE}"/>
            </c:ext>
          </c:extLst>
        </c:ser>
        <c:ser>
          <c:idx val="1"/>
          <c:order val="1"/>
          <c:tx>
            <c:strRef>
              <c:f>Graphs!$D$9</c:f>
              <c:strCache>
                <c:ptCount val="1"/>
                <c:pt idx="0">
                  <c:v>New hydro</c:v>
                </c:pt>
              </c:strCache>
            </c:strRef>
          </c:tx>
          <c:spPr>
            <a:solidFill>
              <a:schemeClr val="accent1"/>
            </a:solidFill>
            <a:ln>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Graphs!$E$9:$Y$9</c:f>
              <c:numCache>
                <c:formatCode>_(* #,##0_);_(* \(#,##0\);_(* "-"??_);_(@_)</c:formatCode>
                <c:ptCount val="21"/>
                <c:pt idx="0">
                  <c:v>0</c:v>
                </c:pt>
                <c:pt idx="1">
                  <c:v>0</c:v>
                </c:pt>
                <c:pt idx="2">
                  <c:v>0</c:v>
                </c:pt>
                <c:pt idx="3">
                  <c:v>0</c:v>
                </c:pt>
                <c:pt idx="4">
                  <c:v>0</c:v>
                </c:pt>
                <c:pt idx="5">
                  <c:v>0</c:v>
                </c:pt>
                <c:pt idx="6">
                  <c:v>0</c:v>
                </c:pt>
                <c:pt idx="7">
                  <c:v>0</c:v>
                </c:pt>
                <c:pt idx="8">
                  <c:v>240900</c:v>
                </c:pt>
                <c:pt idx="9">
                  <c:v>543120</c:v>
                </c:pt>
                <c:pt idx="10">
                  <c:v>543120</c:v>
                </c:pt>
                <c:pt idx="11">
                  <c:v>2707716</c:v>
                </c:pt>
                <c:pt idx="12">
                  <c:v>2707716</c:v>
                </c:pt>
                <c:pt idx="13">
                  <c:v>2707716</c:v>
                </c:pt>
                <c:pt idx="14">
                  <c:v>2707716</c:v>
                </c:pt>
                <c:pt idx="15">
                  <c:v>2707716</c:v>
                </c:pt>
                <c:pt idx="16">
                  <c:v>2707716</c:v>
                </c:pt>
                <c:pt idx="17">
                  <c:v>2707716</c:v>
                </c:pt>
                <c:pt idx="18">
                  <c:v>2707716</c:v>
                </c:pt>
                <c:pt idx="19">
                  <c:v>3802716</c:v>
                </c:pt>
                <c:pt idx="20">
                  <c:v>4196916</c:v>
                </c:pt>
              </c:numCache>
            </c:numRef>
          </c:val>
          <c:extLst>
            <c:ext xmlns:c16="http://schemas.microsoft.com/office/drawing/2014/chart" uri="{C3380CC4-5D6E-409C-BE32-E72D297353CC}">
              <c16:uniqueId val="{00000001-2BFF-4EBB-8B19-E2E5497ED4DE}"/>
            </c:ext>
          </c:extLst>
        </c:ser>
        <c:ser>
          <c:idx val="2"/>
          <c:order val="2"/>
          <c:tx>
            <c:strRef>
              <c:f>Graphs!$D$10</c:f>
              <c:strCache>
                <c:ptCount val="1"/>
                <c:pt idx="0">
                  <c:v>Existing wind</c:v>
                </c:pt>
              </c:strCache>
            </c:strRef>
          </c:tx>
          <c:spPr>
            <a:pattFill prst="ltDnDiag">
              <a:fgClr>
                <a:schemeClr val="accent2"/>
              </a:fgClr>
              <a:bgClr>
                <a:schemeClr val="bg1"/>
              </a:bgClr>
            </a:patt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Graphs!$E$10:$Y$10</c:f>
              <c:numCache>
                <c:formatCode>_(* #,##0_);_(* \(#,##0\);_(* "-"??_);_(@_)</c:formatCode>
                <c:ptCount val="21"/>
                <c:pt idx="0">
                  <c:v>0</c:v>
                </c:pt>
                <c:pt idx="1">
                  <c:v>0</c:v>
                </c:pt>
                <c:pt idx="2">
                  <c:v>0</c:v>
                </c:pt>
                <c:pt idx="3">
                  <c:v>36.528500000000001</c:v>
                </c:pt>
                <c:pt idx="4">
                  <c:v>8157.7569999999996</c:v>
                </c:pt>
                <c:pt idx="5">
                  <c:v>11450.126</c:v>
                </c:pt>
                <c:pt idx="6">
                  <c:v>34911.444000000003</c:v>
                </c:pt>
                <c:pt idx="7">
                  <c:v>60383.278999999995</c:v>
                </c:pt>
                <c:pt idx="8">
                  <c:v>86072.578999999998</c:v>
                </c:pt>
                <c:pt idx="9">
                  <c:v>86072.578999999998</c:v>
                </c:pt>
                <c:pt idx="10">
                  <c:v>86072.578999999998</c:v>
                </c:pt>
                <c:pt idx="11">
                  <c:v>86072.578999999998</c:v>
                </c:pt>
                <c:pt idx="12">
                  <c:v>86072.578999999998</c:v>
                </c:pt>
                <c:pt idx="13">
                  <c:v>86072.578999999998</c:v>
                </c:pt>
                <c:pt idx="14">
                  <c:v>86072.578999999998</c:v>
                </c:pt>
                <c:pt idx="15">
                  <c:v>86072.578999999998</c:v>
                </c:pt>
                <c:pt idx="16">
                  <c:v>86072.578999999998</c:v>
                </c:pt>
                <c:pt idx="17">
                  <c:v>86072.578999999998</c:v>
                </c:pt>
                <c:pt idx="18">
                  <c:v>86072.578999999998</c:v>
                </c:pt>
                <c:pt idx="19">
                  <c:v>86072.578999999998</c:v>
                </c:pt>
                <c:pt idx="20">
                  <c:v>86072.578999999998</c:v>
                </c:pt>
              </c:numCache>
            </c:numRef>
          </c:val>
          <c:extLst>
            <c:ext xmlns:c16="http://schemas.microsoft.com/office/drawing/2014/chart" uri="{C3380CC4-5D6E-409C-BE32-E72D297353CC}">
              <c16:uniqueId val="{00000002-2BFF-4EBB-8B19-E2E5497ED4DE}"/>
            </c:ext>
          </c:extLst>
        </c:ser>
        <c:ser>
          <c:idx val="3"/>
          <c:order val="3"/>
          <c:tx>
            <c:strRef>
              <c:f>Graphs!$D$11</c:f>
              <c:strCache>
                <c:ptCount val="1"/>
                <c:pt idx="0">
                  <c:v>New wind</c:v>
                </c:pt>
              </c:strCache>
            </c:strRef>
          </c:tx>
          <c:spPr>
            <a:solidFill>
              <a:schemeClr val="accent2"/>
            </a:solid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Graphs!$E$11:$Y$11</c:f>
              <c:numCache>
                <c:formatCode>_(* #,##0_);_(* \(#,##0\);_(* "-"??_);_(@_)</c:formatCode>
                <c:ptCount val="21"/>
                <c:pt idx="0">
                  <c:v>0</c:v>
                </c:pt>
                <c:pt idx="1">
                  <c:v>0</c:v>
                </c:pt>
                <c:pt idx="2">
                  <c:v>0</c:v>
                </c:pt>
                <c:pt idx="3">
                  <c:v>0</c:v>
                </c:pt>
                <c:pt idx="4">
                  <c:v>0</c:v>
                </c:pt>
                <c:pt idx="5">
                  <c:v>0</c:v>
                </c:pt>
                <c:pt idx="6">
                  <c:v>0</c:v>
                </c:pt>
                <c:pt idx="7">
                  <c:v>0</c:v>
                </c:pt>
                <c:pt idx="8">
                  <c:v>0</c:v>
                </c:pt>
                <c:pt idx="9">
                  <c:v>0</c:v>
                </c:pt>
                <c:pt idx="10">
                  <c:v>331128</c:v>
                </c:pt>
                <c:pt idx="11">
                  <c:v>469098</c:v>
                </c:pt>
                <c:pt idx="12">
                  <c:v>469098</c:v>
                </c:pt>
                <c:pt idx="13">
                  <c:v>469098</c:v>
                </c:pt>
                <c:pt idx="14">
                  <c:v>469098</c:v>
                </c:pt>
                <c:pt idx="15">
                  <c:v>469098</c:v>
                </c:pt>
                <c:pt idx="16">
                  <c:v>469098</c:v>
                </c:pt>
                <c:pt idx="17">
                  <c:v>469098</c:v>
                </c:pt>
                <c:pt idx="18">
                  <c:v>469098</c:v>
                </c:pt>
                <c:pt idx="19">
                  <c:v>469098</c:v>
                </c:pt>
                <c:pt idx="20">
                  <c:v>469098</c:v>
                </c:pt>
              </c:numCache>
            </c:numRef>
          </c:val>
          <c:extLst>
            <c:ext xmlns:c16="http://schemas.microsoft.com/office/drawing/2014/chart" uri="{C3380CC4-5D6E-409C-BE32-E72D297353CC}">
              <c16:uniqueId val="{00000003-2BFF-4EBB-8B19-E2E5497ED4DE}"/>
            </c:ext>
          </c:extLst>
        </c:ser>
        <c:ser>
          <c:idx val="4"/>
          <c:order val="4"/>
          <c:tx>
            <c:strRef>
              <c:f>Graphs!$D$12</c:f>
              <c:strCache>
                <c:ptCount val="1"/>
                <c:pt idx="0">
                  <c:v>New solar</c:v>
                </c:pt>
              </c:strCache>
            </c:strRef>
          </c:tx>
          <c:spPr>
            <a:solidFill>
              <a:schemeClr val="accent4"/>
            </a:solid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Graphs!$E$12:$Y$12</c:f>
              <c:numCache>
                <c:formatCode>_(* #,##0_);_(* \(#,##0\);_(* "-"??_);_(@_)</c:formatCode>
                <c:ptCount val="21"/>
                <c:pt idx="0">
                  <c:v>0</c:v>
                </c:pt>
                <c:pt idx="1">
                  <c:v>0</c:v>
                </c:pt>
                <c:pt idx="2">
                  <c:v>0</c:v>
                </c:pt>
                <c:pt idx="3">
                  <c:v>0</c:v>
                </c:pt>
                <c:pt idx="4">
                  <c:v>0</c:v>
                </c:pt>
                <c:pt idx="5">
                  <c:v>0</c:v>
                </c:pt>
                <c:pt idx="6">
                  <c:v>0</c:v>
                </c:pt>
                <c:pt idx="7">
                  <c:v>0</c:v>
                </c:pt>
                <c:pt idx="8">
                  <c:v>136656</c:v>
                </c:pt>
                <c:pt idx="9">
                  <c:v>346896</c:v>
                </c:pt>
                <c:pt idx="10">
                  <c:v>346896</c:v>
                </c:pt>
                <c:pt idx="11">
                  <c:v>346896</c:v>
                </c:pt>
                <c:pt idx="12">
                  <c:v>346896</c:v>
                </c:pt>
                <c:pt idx="13">
                  <c:v>346896</c:v>
                </c:pt>
                <c:pt idx="14">
                  <c:v>346896</c:v>
                </c:pt>
                <c:pt idx="15">
                  <c:v>346896</c:v>
                </c:pt>
                <c:pt idx="16">
                  <c:v>346896</c:v>
                </c:pt>
                <c:pt idx="17">
                  <c:v>346896</c:v>
                </c:pt>
                <c:pt idx="18">
                  <c:v>346896</c:v>
                </c:pt>
                <c:pt idx="19">
                  <c:v>346896</c:v>
                </c:pt>
                <c:pt idx="20">
                  <c:v>346896</c:v>
                </c:pt>
              </c:numCache>
            </c:numRef>
          </c:val>
          <c:extLst>
            <c:ext xmlns:c16="http://schemas.microsoft.com/office/drawing/2014/chart" uri="{C3380CC4-5D6E-409C-BE32-E72D297353CC}">
              <c16:uniqueId val="{00000004-2BFF-4EBB-8B19-E2E5497ED4DE}"/>
            </c:ext>
          </c:extLst>
        </c:ser>
        <c:ser>
          <c:idx val="5"/>
          <c:order val="5"/>
          <c:tx>
            <c:strRef>
              <c:f>Graphs!$D$13</c:f>
              <c:strCache>
                <c:ptCount val="1"/>
                <c:pt idx="0">
                  <c:v>Existing biomass</c:v>
                </c:pt>
              </c:strCache>
            </c:strRef>
          </c:tx>
          <c:spPr>
            <a:solidFill>
              <a:schemeClr val="accent6"/>
            </a:solid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Graphs!$E$13:$Y$13</c:f>
              <c:numCache>
                <c:formatCode>_(* #,##0_);_(* \(#,##0\);_(* "-"??_);_(@_)</c:formatCode>
                <c:ptCount val="21"/>
                <c:pt idx="0">
                  <c:v>58156.17</c:v>
                </c:pt>
                <c:pt idx="1">
                  <c:v>64040.52</c:v>
                </c:pt>
                <c:pt idx="2">
                  <c:v>64494.2</c:v>
                </c:pt>
                <c:pt idx="3">
                  <c:v>79491</c:v>
                </c:pt>
                <c:pt idx="4">
                  <c:v>76309.624999999985</c:v>
                </c:pt>
                <c:pt idx="5">
                  <c:v>79093.507500000007</c:v>
                </c:pt>
                <c:pt idx="6">
                  <c:v>61193.049750000006</c:v>
                </c:pt>
                <c:pt idx="7">
                  <c:v>44047.566999999995</c:v>
                </c:pt>
                <c:pt idx="8">
                  <c:v>61776.900333333338</c:v>
                </c:pt>
                <c:pt idx="9">
                  <c:v>61776.900333333338</c:v>
                </c:pt>
                <c:pt idx="10">
                  <c:v>61776.900333333338</c:v>
                </c:pt>
                <c:pt idx="11">
                  <c:v>61776.900333333338</c:v>
                </c:pt>
                <c:pt idx="12">
                  <c:v>61776.900333333338</c:v>
                </c:pt>
                <c:pt idx="13">
                  <c:v>61776.900333333338</c:v>
                </c:pt>
                <c:pt idx="14">
                  <c:v>61776.900333333338</c:v>
                </c:pt>
                <c:pt idx="15">
                  <c:v>61776.900333333338</c:v>
                </c:pt>
                <c:pt idx="16">
                  <c:v>61776.900333333338</c:v>
                </c:pt>
                <c:pt idx="17">
                  <c:v>61776.900333333338</c:v>
                </c:pt>
                <c:pt idx="18">
                  <c:v>61776.900333333338</c:v>
                </c:pt>
                <c:pt idx="19">
                  <c:v>61776.900333333338</c:v>
                </c:pt>
                <c:pt idx="20">
                  <c:v>61776.900333333338</c:v>
                </c:pt>
              </c:numCache>
            </c:numRef>
          </c:val>
          <c:extLst>
            <c:ext xmlns:c16="http://schemas.microsoft.com/office/drawing/2014/chart" uri="{C3380CC4-5D6E-409C-BE32-E72D297353CC}">
              <c16:uniqueId val="{00000005-2BFF-4EBB-8B19-E2E5497ED4DE}"/>
            </c:ext>
          </c:extLst>
        </c:ser>
        <c:ser>
          <c:idx val="6"/>
          <c:order val="6"/>
          <c:tx>
            <c:strRef>
              <c:f>Graphs!$D$14</c:f>
              <c:strCache>
                <c:ptCount val="1"/>
                <c:pt idx="0">
                  <c:v>New biomass</c:v>
                </c:pt>
              </c:strCache>
            </c:strRef>
          </c:tx>
          <c:spPr>
            <a:pattFill prst="ltDnDiag">
              <a:fgClr>
                <a:schemeClr val="accent6"/>
              </a:fgClr>
              <a:bgClr>
                <a:schemeClr val="bg1"/>
              </a:bgClr>
            </a:patt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Graphs!$E$14:$Y$14</c:f>
              <c:numCache>
                <c:formatCode>_(* #,##0_);_(* \(#,##0\);_(* "-"??_);_(@_)</c:formatCode>
                <c:ptCount val="21"/>
              </c:numCache>
            </c:numRef>
          </c:val>
          <c:extLst>
            <c:ext xmlns:c16="http://schemas.microsoft.com/office/drawing/2014/chart" uri="{C3380CC4-5D6E-409C-BE32-E72D297353CC}">
              <c16:uniqueId val="{00000006-2BFF-4EBB-8B19-E2E5497ED4DE}"/>
            </c:ext>
          </c:extLst>
        </c:ser>
        <c:ser>
          <c:idx val="7"/>
          <c:order val="7"/>
          <c:tx>
            <c:strRef>
              <c:f>Graphs!$D$15</c:f>
              <c:strCache>
                <c:ptCount val="1"/>
                <c:pt idx="0">
                  <c:v>New geothermal</c:v>
                </c:pt>
              </c:strCache>
            </c:strRef>
          </c:tx>
          <c:spPr>
            <a:solidFill>
              <a:srgbClr val="C00000"/>
            </a:solid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Graphs!$E$15:$Y$15</c:f>
              <c:numCache>
                <c:formatCode>_(* #,##0_);_(* \(#,##0\);_(* "-"??_);_(@_)</c:formatCode>
                <c:ptCount val="21"/>
                <c:pt idx="0">
                  <c:v>0</c:v>
                </c:pt>
                <c:pt idx="1">
                  <c:v>0</c:v>
                </c:pt>
                <c:pt idx="2">
                  <c:v>0</c:v>
                </c:pt>
                <c:pt idx="3">
                  <c:v>0</c:v>
                </c:pt>
                <c:pt idx="4">
                  <c:v>0</c:v>
                </c:pt>
                <c:pt idx="5">
                  <c:v>0</c:v>
                </c:pt>
                <c:pt idx="6">
                  <c:v>0</c:v>
                </c:pt>
                <c:pt idx="7">
                  <c:v>0</c:v>
                </c:pt>
                <c:pt idx="8">
                  <c:v>0</c:v>
                </c:pt>
                <c:pt idx="9">
                  <c:v>0</c:v>
                </c:pt>
                <c:pt idx="10">
                  <c:v>37230</c:v>
                </c:pt>
                <c:pt idx="11">
                  <c:v>37230</c:v>
                </c:pt>
                <c:pt idx="12">
                  <c:v>37230</c:v>
                </c:pt>
                <c:pt idx="13">
                  <c:v>37230</c:v>
                </c:pt>
                <c:pt idx="14">
                  <c:v>37230</c:v>
                </c:pt>
                <c:pt idx="15">
                  <c:v>37230</c:v>
                </c:pt>
                <c:pt idx="16">
                  <c:v>37230</c:v>
                </c:pt>
                <c:pt idx="17">
                  <c:v>37230</c:v>
                </c:pt>
                <c:pt idx="18">
                  <c:v>37230</c:v>
                </c:pt>
                <c:pt idx="19">
                  <c:v>37230</c:v>
                </c:pt>
                <c:pt idx="20">
                  <c:v>37230</c:v>
                </c:pt>
              </c:numCache>
            </c:numRef>
          </c:val>
          <c:extLst>
            <c:ext xmlns:c16="http://schemas.microsoft.com/office/drawing/2014/chart" uri="{C3380CC4-5D6E-409C-BE32-E72D297353CC}">
              <c16:uniqueId val="{00000007-2BFF-4EBB-8B19-E2E5497ED4DE}"/>
            </c:ext>
          </c:extLst>
        </c:ser>
        <c:ser>
          <c:idx val="8"/>
          <c:order val="8"/>
          <c:tx>
            <c:strRef>
              <c:f>Graphs!$D$16</c:f>
              <c:strCache>
                <c:ptCount val="1"/>
                <c:pt idx="0">
                  <c:v>Existing natural gas</c:v>
                </c:pt>
              </c:strCache>
            </c:strRef>
          </c:tx>
          <c:spPr>
            <a:pattFill prst="ltDnDiag">
              <a:fgClr>
                <a:schemeClr val="bg2">
                  <a:lumMod val="50000"/>
                </a:schemeClr>
              </a:fgClr>
              <a:bgClr>
                <a:schemeClr val="bg1"/>
              </a:bgClr>
            </a:patt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Graphs!$E$16:$Y$16</c:f>
              <c:numCache>
                <c:formatCode>_(* #,##0_);_(* \(#,##0\);_(* "-"??_);_(@_)</c:formatCode>
                <c:ptCount val="21"/>
                <c:pt idx="0">
                  <c:v>3875855.7150321514</c:v>
                </c:pt>
                <c:pt idx="1">
                  <c:v>4204795.5495570004</c:v>
                </c:pt>
                <c:pt idx="2">
                  <c:v>4475347.2606733171</c:v>
                </c:pt>
                <c:pt idx="3">
                  <c:v>4692441.8888248773</c:v>
                </c:pt>
                <c:pt idx="4">
                  <c:v>5426028.4641763652</c:v>
                </c:pt>
                <c:pt idx="5">
                  <c:v>5718182.0382411722</c:v>
                </c:pt>
                <c:pt idx="6">
                  <c:v>6857813.3036782192</c:v>
                </c:pt>
                <c:pt idx="7">
                  <c:v>6556082.4895821987</c:v>
                </c:pt>
                <c:pt idx="8">
                  <c:v>6298859.812753248</c:v>
                </c:pt>
                <c:pt idx="9">
                  <c:v>799722.24241293105</c:v>
                </c:pt>
                <c:pt idx="10">
                  <c:v>0</c:v>
                </c:pt>
                <c:pt idx="11">
                  <c:v>0</c:v>
                </c:pt>
                <c:pt idx="12">
                  <c:v>0</c:v>
                </c:pt>
                <c:pt idx="13">
                  <c:v>0</c:v>
                </c:pt>
                <c:pt idx="14">
                  <c:v>0</c:v>
                </c:pt>
                <c:pt idx="15">
                  <c:v>189084.27459123899</c:v>
                </c:pt>
                <c:pt idx="16">
                  <c:v>1150563.4412579094</c:v>
                </c:pt>
                <c:pt idx="17">
                  <c:v>2166011.3579245759</c:v>
                </c:pt>
                <c:pt idx="18">
                  <c:v>3238282.1912579113</c:v>
                </c:pt>
                <c:pt idx="19">
                  <c:v>3275365.5245912462</c:v>
                </c:pt>
                <c:pt idx="20">
                  <c:v>4076248.857924575</c:v>
                </c:pt>
              </c:numCache>
            </c:numRef>
          </c:val>
          <c:extLst>
            <c:ext xmlns:c16="http://schemas.microsoft.com/office/drawing/2014/chart" uri="{C3380CC4-5D6E-409C-BE32-E72D297353CC}">
              <c16:uniqueId val="{00000008-2BFF-4EBB-8B19-E2E5497ED4DE}"/>
            </c:ext>
          </c:extLst>
        </c:ser>
        <c:ser>
          <c:idx val="9"/>
          <c:order val="9"/>
          <c:tx>
            <c:strRef>
              <c:f>Graphs!$D$17</c:f>
              <c:strCache>
                <c:ptCount val="1"/>
                <c:pt idx="0">
                  <c:v>New natural gas</c:v>
                </c:pt>
              </c:strCache>
            </c:strRef>
          </c:tx>
          <c:spPr>
            <a:solidFill>
              <a:schemeClr val="bg2">
                <a:lumMod val="50000"/>
              </a:schemeClr>
            </a:solid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Graphs!$E$17:$Y$17</c:f>
              <c:numCache>
                <c:formatCode>_(* #,##0_);_(* \(#,##0\);_(* "-"??_);_(@_)</c:formatCode>
                <c:ptCount val="21"/>
                <c:pt idx="0">
                  <c:v>0</c:v>
                </c:pt>
                <c:pt idx="1">
                  <c:v>0</c:v>
                </c:pt>
                <c:pt idx="2">
                  <c:v>0</c:v>
                </c:pt>
                <c:pt idx="3">
                  <c:v>0</c:v>
                </c:pt>
                <c:pt idx="4">
                  <c:v>0</c:v>
                </c:pt>
                <c:pt idx="5">
                  <c:v>0</c:v>
                </c:pt>
                <c:pt idx="6">
                  <c:v>0</c:v>
                </c:pt>
                <c:pt idx="7">
                  <c:v>0</c:v>
                </c:pt>
                <c:pt idx="8">
                  <c:v>0</c:v>
                </c:pt>
                <c:pt idx="9">
                  <c:v>5794004.1599999992</c:v>
                </c:pt>
                <c:pt idx="10">
                  <c:v>7047060.8569862628</c:v>
                </c:pt>
                <c:pt idx="11">
                  <c:v>5908458.371674574</c:v>
                </c:pt>
                <c:pt idx="12">
                  <c:v>6680784.4445912428</c:v>
                </c:pt>
                <c:pt idx="13">
                  <c:v>7496096.9445912447</c:v>
                </c:pt>
                <c:pt idx="14">
                  <c:v>8357638.6112579079</c:v>
                </c:pt>
                <c:pt idx="15">
                  <c:v>9078793.9199999999</c:v>
                </c:pt>
                <c:pt idx="16">
                  <c:v>9078793.9199999999</c:v>
                </c:pt>
                <c:pt idx="17">
                  <c:v>9078793.9199999999</c:v>
                </c:pt>
                <c:pt idx="18">
                  <c:v>9078793.9199999999</c:v>
                </c:pt>
                <c:pt idx="19">
                  <c:v>9078793.9199999999</c:v>
                </c:pt>
                <c:pt idx="20">
                  <c:v>9078793.9199999999</c:v>
                </c:pt>
              </c:numCache>
            </c:numRef>
          </c:val>
          <c:extLst>
            <c:ext xmlns:c16="http://schemas.microsoft.com/office/drawing/2014/chart" uri="{C3380CC4-5D6E-409C-BE32-E72D297353CC}">
              <c16:uniqueId val="{00000009-2BFF-4EBB-8B19-E2E5497ED4DE}"/>
            </c:ext>
          </c:extLst>
        </c:ser>
        <c:dLbls>
          <c:showLegendKey val="0"/>
          <c:showVal val="0"/>
          <c:showCatName val="0"/>
          <c:showSerName val="0"/>
          <c:showPercent val="0"/>
          <c:showBubbleSize val="0"/>
        </c:dLbls>
        <c:axId val="319082192"/>
        <c:axId val="319080880"/>
      </c:areaChart>
      <c:catAx>
        <c:axId val="3190821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319080880"/>
        <c:crosses val="autoZero"/>
        <c:auto val="1"/>
        <c:lblAlgn val="ctr"/>
        <c:lblOffset val="100"/>
        <c:noMultiLvlLbl val="0"/>
      </c:catAx>
      <c:valAx>
        <c:axId val="319080880"/>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s-MX"/>
          </a:p>
        </c:txPr>
        <c:crossAx val="31908219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Current demand scenario</a:t>
            </a:r>
          </a:p>
          <a:p>
            <a:pPr>
              <a:defRPr/>
            </a:pPr>
            <a:r>
              <a:rPr lang="en-US" sz="1800" b="1" i="0" baseline="0">
                <a:effectLst/>
              </a:rPr>
              <a:t>Fraction of power generation by type of energy source </a:t>
            </a:r>
            <a:endParaRPr lang="en-US">
              <a:effectLst/>
            </a:endParaRPr>
          </a:p>
          <a:p>
            <a:pPr>
              <a:defRPr/>
            </a:pPr>
            <a:r>
              <a:rPr lang="en-US" sz="1400" b="0" i="0" baseline="0">
                <a:effectLst/>
              </a:rPr>
              <a:t>[%]</a:t>
            </a:r>
            <a:endParaRPr lang="en-US" sz="1400"/>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areaChart>
        <c:grouping val="percentStacked"/>
        <c:varyColors val="0"/>
        <c:ser>
          <c:idx val="0"/>
          <c:order val="0"/>
          <c:tx>
            <c:strRef>
              <c:f>Graphs!$D$8</c:f>
              <c:strCache>
                <c:ptCount val="1"/>
                <c:pt idx="0">
                  <c:v>Existing hydro</c:v>
                </c:pt>
              </c:strCache>
            </c:strRef>
          </c:tx>
          <c:spPr>
            <a:pattFill prst="ltDnDiag">
              <a:fgClr>
                <a:schemeClr val="accent1"/>
              </a:fgClr>
              <a:bgClr>
                <a:schemeClr val="bg1"/>
              </a:bgClr>
            </a:pattFill>
            <a:ln>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Graphs!$E$8:$Y$8</c:f>
              <c:numCache>
                <c:formatCode>_(* #,##0_);_(* \(#,##0\);_(* "-"??_);_(@_)</c:formatCode>
                <c:ptCount val="21"/>
                <c:pt idx="0">
                  <c:v>2151428.9800358461</c:v>
                </c:pt>
                <c:pt idx="1">
                  <c:v>2324105.4636729998</c:v>
                </c:pt>
                <c:pt idx="2">
                  <c:v>2322084.4652733332</c:v>
                </c:pt>
                <c:pt idx="3">
                  <c:v>2514863.618699627</c:v>
                </c:pt>
                <c:pt idx="4">
                  <c:v>2232992.8565350003</c:v>
                </c:pt>
                <c:pt idx="5">
                  <c:v>2439591.1513262745</c:v>
                </c:pt>
                <c:pt idx="6">
                  <c:v>1715604.4612500004</c:v>
                </c:pt>
                <c:pt idx="7">
                  <c:v>2229863.9013999989</c:v>
                </c:pt>
                <c:pt idx="8">
                  <c:v>2651238.9793254239</c:v>
                </c:pt>
                <c:pt idx="9">
                  <c:v>2640951.1156587573</c:v>
                </c:pt>
                <c:pt idx="10">
                  <c:v>2640951.1156587573</c:v>
                </c:pt>
                <c:pt idx="11">
                  <c:v>2640951.1156587573</c:v>
                </c:pt>
                <c:pt idx="12">
                  <c:v>2640951.1156587573</c:v>
                </c:pt>
                <c:pt idx="13">
                  <c:v>2640951.1156587573</c:v>
                </c:pt>
                <c:pt idx="14">
                  <c:v>2640951.1156587573</c:v>
                </c:pt>
                <c:pt idx="15">
                  <c:v>2640951.1156587573</c:v>
                </c:pt>
                <c:pt idx="16">
                  <c:v>2640951.1156587573</c:v>
                </c:pt>
                <c:pt idx="17">
                  <c:v>2640951.1156587573</c:v>
                </c:pt>
                <c:pt idx="18">
                  <c:v>2640951.1156587573</c:v>
                </c:pt>
                <c:pt idx="19">
                  <c:v>2640951.1156587573</c:v>
                </c:pt>
                <c:pt idx="20">
                  <c:v>2640951.1156587573</c:v>
                </c:pt>
              </c:numCache>
            </c:numRef>
          </c:val>
          <c:extLst>
            <c:ext xmlns:c16="http://schemas.microsoft.com/office/drawing/2014/chart" uri="{C3380CC4-5D6E-409C-BE32-E72D297353CC}">
              <c16:uniqueId val="{00000000-00C3-4E96-8BD2-C23A309A632C}"/>
            </c:ext>
          </c:extLst>
        </c:ser>
        <c:ser>
          <c:idx val="1"/>
          <c:order val="1"/>
          <c:tx>
            <c:strRef>
              <c:f>Graphs!$D$9</c:f>
              <c:strCache>
                <c:ptCount val="1"/>
                <c:pt idx="0">
                  <c:v>New hydro</c:v>
                </c:pt>
              </c:strCache>
            </c:strRef>
          </c:tx>
          <c:spPr>
            <a:solidFill>
              <a:schemeClr val="accent1"/>
            </a:solidFill>
            <a:ln>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Graphs!$E$9:$Y$9</c:f>
              <c:numCache>
                <c:formatCode>_(* #,##0_);_(* \(#,##0\);_(* "-"??_);_(@_)</c:formatCode>
                <c:ptCount val="21"/>
                <c:pt idx="0">
                  <c:v>0</c:v>
                </c:pt>
                <c:pt idx="1">
                  <c:v>0</c:v>
                </c:pt>
                <c:pt idx="2">
                  <c:v>0</c:v>
                </c:pt>
                <c:pt idx="3">
                  <c:v>0</c:v>
                </c:pt>
                <c:pt idx="4">
                  <c:v>0</c:v>
                </c:pt>
                <c:pt idx="5">
                  <c:v>0</c:v>
                </c:pt>
                <c:pt idx="6">
                  <c:v>0</c:v>
                </c:pt>
                <c:pt idx="7">
                  <c:v>0</c:v>
                </c:pt>
                <c:pt idx="8">
                  <c:v>240900</c:v>
                </c:pt>
                <c:pt idx="9">
                  <c:v>543120</c:v>
                </c:pt>
                <c:pt idx="10">
                  <c:v>543120</c:v>
                </c:pt>
                <c:pt idx="11">
                  <c:v>2707716</c:v>
                </c:pt>
                <c:pt idx="12">
                  <c:v>2707716</c:v>
                </c:pt>
                <c:pt idx="13">
                  <c:v>2707716</c:v>
                </c:pt>
                <c:pt idx="14">
                  <c:v>2707716</c:v>
                </c:pt>
                <c:pt idx="15">
                  <c:v>2707716</c:v>
                </c:pt>
                <c:pt idx="16">
                  <c:v>2707716</c:v>
                </c:pt>
                <c:pt idx="17">
                  <c:v>2707716</c:v>
                </c:pt>
                <c:pt idx="18">
                  <c:v>2707716</c:v>
                </c:pt>
                <c:pt idx="19">
                  <c:v>3802716</c:v>
                </c:pt>
                <c:pt idx="20">
                  <c:v>4196916</c:v>
                </c:pt>
              </c:numCache>
            </c:numRef>
          </c:val>
          <c:extLst>
            <c:ext xmlns:c16="http://schemas.microsoft.com/office/drawing/2014/chart" uri="{C3380CC4-5D6E-409C-BE32-E72D297353CC}">
              <c16:uniqueId val="{00000001-00C3-4E96-8BD2-C23A309A632C}"/>
            </c:ext>
          </c:extLst>
        </c:ser>
        <c:ser>
          <c:idx val="2"/>
          <c:order val="2"/>
          <c:tx>
            <c:strRef>
              <c:f>Graphs!$D$10</c:f>
              <c:strCache>
                <c:ptCount val="1"/>
                <c:pt idx="0">
                  <c:v>Existing wind</c:v>
                </c:pt>
              </c:strCache>
            </c:strRef>
          </c:tx>
          <c:spPr>
            <a:pattFill prst="ltDnDiag">
              <a:fgClr>
                <a:schemeClr val="accent2"/>
              </a:fgClr>
              <a:bgClr>
                <a:schemeClr val="bg1"/>
              </a:bgClr>
            </a:patt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Graphs!$E$10:$Y$10</c:f>
              <c:numCache>
                <c:formatCode>_(* #,##0_);_(* \(#,##0\);_(* "-"??_);_(@_)</c:formatCode>
                <c:ptCount val="21"/>
                <c:pt idx="0">
                  <c:v>0</c:v>
                </c:pt>
                <c:pt idx="1">
                  <c:v>0</c:v>
                </c:pt>
                <c:pt idx="2">
                  <c:v>0</c:v>
                </c:pt>
                <c:pt idx="3">
                  <c:v>36.528500000000001</c:v>
                </c:pt>
                <c:pt idx="4">
                  <c:v>8157.7569999999996</c:v>
                </c:pt>
                <c:pt idx="5">
                  <c:v>11450.126</c:v>
                </c:pt>
                <c:pt idx="6">
                  <c:v>34911.444000000003</c:v>
                </c:pt>
                <c:pt idx="7">
                  <c:v>60383.278999999995</c:v>
                </c:pt>
                <c:pt idx="8">
                  <c:v>86072.578999999998</c:v>
                </c:pt>
                <c:pt idx="9">
                  <c:v>86072.578999999998</c:v>
                </c:pt>
                <c:pt idx="10">
                  <c:v>86072.578999999998</c:v>
                </c:pt>
                <c:pt idx="11">
                  <c:v>86072.578999999998</c:v>
                </c:pt>
                <c:pt idx="12">
                  <c:v>86072.578999999998</c:v>
                </c:pt>
                <c:pt idx="13">
                  <c:v>86072.578999999998</c:v>
                </c:pt>
                <c:pt idx="14">
                  <c:v>86072.578999999998</c:v>
                </c:pt>
                <c:pt idx="15">
                  <c:v>86072.578999999998</c:v>
                </c:pt>
                <c:pt idx="16">
                  <c:v>86072.578999999998</c:v>
                </c:pt>
                <c:pt idx="17">
                  <c:v>86072.578999999998</c:v>
                </c:pt>
                <c:pt idx="18">
                  <c:v>86072.578999999998</c:v>
                </c:pt>
                <c:pt idx="19">
                  <c:v>86072.578999999998</c:v>
                </c:pt>
                <c:pt idx="20">
                  <c:v>86072.578999999998</c:v>
                </c:pt>
              </c:numCache>
            </c:numRef>
          </c:val>
          <c:extLst>
            <c:ext xmlns:c16="http://schemas.microsoft.com/office/drawing/2014/chart" uri="{C3380CC4-5D6E-409C-BE32-E72D297353CC}">
              <c16:uniqueId val="{00000002-00C3-4E96-8BD2-C23A309A632C}"/>
            </c:ext>
          </c:extLst>
        </c:ser>
        <c:ser>
          <c:idx val="3"/>
          <c:order val="3"/>
          <c:tx>
            <c:strRef>
              <c:f>Graphs!$D$11</c:f>
              <c:strCache>
                <c:ptCount val="1"/>
                <c:pt idx="0">
                  <c:v>New wind</c:v>
                </c:pt>
              </c:strCache>
            </c:strRef>
          </c:tx>
          <c:spPr>
            <a:solidFill>
              <a:schemeClr val="accent2"/>
            </a:solid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Graphs!$E$11:$Y$11</c:f>
              <c:numCache>
                <c:formatCode>_(* #,##0_);_(* \(#,##0\);_(* "-"??_);_(@_)</c:formatCode>
                <c:ptCount val="21"/>
                <c:pt idx="0">
                  <c:v>0</c:v>
                </c:pt>
                <c:pt idx="1">
                  <c:v>0</c:v>
                </c:pt>
                <c:pt idx="2">
                  <c:v>0</c:v>
                </c:pt>
                <c:pt idx="3">
                  <c:v>0</c:v>
                </c:pt>
                <c:pt idx="4">
                  <c:v>0</c:v>
                </c:pt>
                <c:pt idx="5">
                  <c:v>0</c:v>
                </c:pt>
                <c:pt idx="6">
                  <c:v>0</c:v>
                </c:pt>
                <c:pt idx="7">
                  <c:v>0</c:v>
                </c:pt>
                <c:pt idx="8">
                  <c:v>0</c:v>
                </c:pt>
                <c:pt idx="9">
                  <c:v>0</c:v>
                </c:pt>
                <c:pt idx="10">
                  <c:v>331128</c:v>
                </c:pt>
                <c:pt idx="11">
                  <c:v>469098</c:v>
                </c:pt>
                <c:pt idx="12">
                  <c:v>469098</c:v>
                </c:pt>
                <c:pt idx="13">
                  <c:v>469098</c:v>
                </c:pt>
                <c:pt idx="14">
                  <c:v>469098</c:v>
                </c:pt>
                <c:pt idx="15">
                  <c:v>469098</c:v>
                </c:pt>
                <c:pt idx="16">
                  <c:v>469098</c:v>
                </c:pt>
                <c:pt idx="17">
                  <c:v>469098</c:v>
                </c:pt>
                <c:pt idx="18">
                  <c:v>469098</c:v>
                </c:pt>
                <c:pt idx="19">
                  <c:v>469098</c:v>
                </c:pt>
                <c:pt idx="20">
                  <c:v>469098</c:v>
                </c:pt>
              </c:numCache>
            </c:numRef>
          </c:val>
          <c:extLst>
            <c:ext xmlns:c16="http://schemas.microsoft.com/office/drawing/2014/chart" uri="{C3380CC4-5D6E-409C-BE32-E72D297353CC}">
              <c16:uniqueId val="{00000003-00C3-4E96-8BD2-C23A309A632C}"/>
            </c:ext>
          </c:extLst>
        </c:ser>
        <c:ser>
          <c:idx val="4"/>
          <c:order val="4"/>
          <c:tx>
            <c:strRef>
              <c:f>Graphs!$D$12</c:f>
              <c:strCache>
                <c:ptCount val="1"/>
                <c:pt idx="0">
                  <c:v>New solar</c:v>
                </c:pt>
              </c:strCache>
            </c:strRef>
          </c:tx>
          <c:spPr>
            <a:solidFill>
              <a:schemeClr val="accent4"/>
            </a:solid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Graphs!$E$12:$Y$12</c:f>
              <c:numCache>
                <c:formatCode>_(* #,##0_);_(* \(#,##0\);_(* "-"??_);_(@_)</c:formatCode>
                <c:ptCount val="21"/>
                <c:pt idx="0">
                  <c:v>0</c:v>
                </c:pt>
                <c:pt idx="1">
                  <c:v>0</c:v>
                </c:pt>
                <c:pt idx="2">
                  <c:v>0</c:v>
                </c:pt>
                <c:pt idx="3">
                  <c:v>0</c:v>
                </c:pt>
                <c:pt idx="4">
                  <c:v>0</c:v>
                </c:pt>
                <c:pt idx="5">
                  <c:v>0</c:v>
                </c:pt>
                <c:pt idx="6">
                  <c:v>0</c:v>
                </c:pt>
                <c:pt idx="7">
                  <c:v>0</c:v>
                </c:pt>
                <c:pt idx="8">
                  <c:v>136656</c:v>
                </c:pt>
                <c:pt idx="9">
                  <c:v>346896</c:v>
                </c:pt>
                <c:pt idx="10">
                  <c:v>346896</c:v>
                </c:pt>
                <c:pt idx="11">
                  <c:v>346896</c:v>
                </c:pt>
                <c:pt idx="12">
                  <c:v>346896</c:v>
                </c:pt>
                <c:pt idx="13">
                  <c:v>346896</c:v>
                </c:pt>
                <c:pt idx="14">
                  <c:v>346896</c:v>
                </c:pt>
                <c:pt idx="15">
                  <c:v>346896</c:v>
                </c:pt>
                <c:pt idx="16">
                  <c:v>346896</c:v>
                </c:pt>
                <c:pt idx="17">
                  <c:v>346896</c:v>
                </c:pt>
                <c:pt idx="18">
                  <c:v>346896</c:v>
                </c:pt>
                <c:pt idx="19">
                  <c:v>346896</c:v>
                </c:pt>
                <c:pt idx="20">
                  <c:v>346896</c:v>
                </c:pt>
              </c:numCache>
            </c:numRef>
          </c:val>
          <c:extLst>
            <c:ext xmlns:c16="http://schemas.microsoft.com/office/drawing/2014/chart" uri="{C3380CC4-5D6E-409C-BE32-E72D297353CC}">
              <c16:uniqueId val="{00000004-00C3-4E96-8BD2-C23A309A632C}"/>
            </c:ext>
          </c:extLst>
        </c:ser>
        <c:ser>
          <c:idx val="5"/>
          <c:order val="5"/>
          <c:tx>
            <c:strRef>
              <c:f>Graphs!$D$13</c:f>
              <c:strCache>
                <c:ptCount val="1"/>
                <c:pt idx="0">
                  <c:v>Existing biomass</c:v>
                </c:pt>
              </c:strCache>
            </c:strRef>
          </c:tx>
          <c:spPr>
            <a:pattFill prst="ltDnDiag">
              <a:fgClr>
                <a:schemeClr val="accent6"/>
              </a:fgClr>
              <a:bgClr>
                <a:schemeClr val="bg1"/>
              </a:bgClr>
            </a:patt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Graphs!$E$13:$Y$13</c:f>
              <c:numCache>
                <c:formatCode>_(* #,##0_);_(* \(#,##0\);_(* "-"??_);_(@_)</c:formatCode>
                <c:ptCount val="21"/>
                <c:pt idx="0">
                  <c:v>58156.17</c:v>
                </c:pt>
                <c:pt idx="1">
                  <c:v>64040.52</c:v>
                </c:pt>
                <c:pt idx="2">
                  <c:v>64494.2</c:v>
                </c:pt>
                <c:pt idx="3">
                  <c:v>79491</c:v>
                </c:pt>
                <c:pt idx="4">
                  <c:v>76309.624999999985</c:v>
                </c:pt>
                <c:pt idx="5">
                  <c:v>79093.507500000007</c:v>
                </c:pt>
                <c:pt idx="6">
                  <c:v>61193.049750000006</c:v>
                </c:pt>
                <c:pt idx="7">
                  <c:v>44047.566999999995</c:v>
                </c:pt>
                <c:pt idx="8">
                  <c:v>61776.900333333338</c:v>
                </c:pt>
                <c:pt idx="9">
                  <c:v>61776.900333333338</c:v>
                </c:pt>
                <c:pt idx="10">
                  <c:v>61776.900333333338</c:v>
                </c:pt>
                <c:pt idx="11">
                  <c:v>61776.900333333338</c:v>
                </c:pt>
                <c:pt idx="12">
                  <c:v>61776.900333333338</c:v>
                </c:pt>
                <c:pt idx="13">
                  <c:v>61776.900333333338</c:v>
                </c:pt>
                <c:pt idx="14">
                  <c:v>61776.900333333338</c:v>
                </c:pt>
                <c:pt idx="15">
                  <c:v>61776.900333333338</c:v>
                </c:pt>
                <c:pt idx="16">
                  <c:v>61776.900333333338</c:v>
                </c:pt>
                <c:pt idx="17">
                  <c:v>61776.900333333338</c:v>
                </c:pt>
                <c:pt idx="18">
                  <c:v>61776.900333333338</c:v>
                </c:pt>
                <c:pt idx="19">
                  <c:v>61776.900333333338</c:v>
                </c:pt>
                <c:pt idx="20">
                  <c:v>61776.900333333338</c:v>
                </c:pt>
              </c:numCache>
            </c:numRef>
          </c:val>
          <c:extLst>
            <c:ext xmlns:c16="http://schemas.microsoft.com/office/drawing/2014/chart" uri="{C3380CC4-5D6E-409C-BE32-E72D297353CC}">
              <c16:uniqueId val="{00000005-00C3-4E96-8BD2-C23A309A632C}"/>
            </c:ext>
          </c:extLst>
        </c:ser>
        <c:ser>
          <c:idx val="6"/>
          <c:order val="6"/>
          <c:tx>
            <c:strRef>
              <c:f>Graphs!$D$14</c:f>
              <c:strCache>
                <c:ptCount val="1"/>
                <c:pt idx="0">
                  <c:v>New biomass</c:v>
                </c:pt>
              </c:strCache>
            </c:strRef>
          </c:tx>
          <c:spPr>
            <a:pattFill prst="ltDnDiag">
              <a:fgClr>
                <a:schemeClr val="accent6"/>
              </a:fgClr>
              <a:bgClr>
                <a:schemeClr val="bg1"/>
              </a:bgClr>
            </a:patt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Graphs!$E$14:$Y$14</c:f>
              <c:numCache>
                <c:formatCode>_(* #,##0_);_(* \(#,##0\);_(* "-"??_);_(@_)</c:formatCode>
                <c:ptCount val="21"/>
              </c:numCache>
            </c:numRef>
          </c:val>
          <c:extLst>
            <c:ext xmlns:c16="http://schemas.microsoft.com/office/drawing/2014/chart" uri="{C3380CC4-5D6E-409C-BE32-E72D297353CC}">
              <c16:uniqueId val="{00000006-00C3-4E96-8BD2-C23A309A632C}"/>
            </c:ext>
          </c:extLst>
        </c:ser>
        <c:ser>
          <c:idx val="7"/>
          <c:order val="7"/>
          <c:tx>
            <c:strRef>
              <c:f>Graphs!$D$15</c:f>
              <c:strCache>
                <c:ptCount val="1"/>
                <c:pt idx="0">
                  <c:v>New geothermal</c:v>
                </c:pt>
              </c:strCache>
            </c:strRef>
          </c:tx>
          <c:spPr>
            <a:solidFill>
              <a:srgbClr val="C00000"/>
            </a:solid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Graphs!$E$15:$Y$15</c:f>
              <c:numCache>
                <c:formatCode>_(* #,##0_);_(* \(#,##0\);_(* "-"??_);_(@_)</c:formatCode>
                <c:ptCount val="21"/>
                <c:pt idx="0">
                  <c:v>0</c:v>
                </c:pt>
                <c:pt idx="1">
                  <c:v>0</c:v>
                </c:pt>
                <c:pt idx="2">
                  <c:v>0</c:v>
                </c:pt>
                <c:pt idx="3">
                  <c:v>0</c:v>
                </c:pt>
                <c:pt idx="4">
                  <c:v>0</c:v>
                </c:pt>
                <c:pt idx="5">
                  <c:v>0</c:v>
                </c:pt>
                <c:pt idx="6">
                  <c:v>0</c:v>
                </c:pt>
                <c:pt idx="7">
                  <c:v>0</c:v>
                </c:pt>
                <c:pt idx="8">
                  <c:v>0</c:v>
                </c:pt>
                <c:pt idx="9">
                  <c:v>0</c:v>
                </c:pt>
                <c:pt idx="10">
                  <c:v>37230</c:v>
                </c:pt>
                <c:pt idx="11">
                  <c:v>37230</c:v>
                </c:pt>
                <c:pt idx="12">
                  <c:v>37230</c:v>
                </c:pt>
                <c:pt idx="13">
                  <c:v>37230</c:v>
                </c:pt>
                <c:pt idx="14">
                  <c:v>37230</c:v>
                </c:pt>
                <c:pt idx="15">
                  <c:v>37230</c:v>
                </c:pt>
                <c:pt idx="16">
                  <c:v>37230</c:v>
                </c:pt>
                <c:pt idx="17">
                  <c:v>37230</c:v>
                </c:pt>
                <c:pt idx="18">
                  <c:v>37230</c:v>
                </c:pt>
                <c:pt idx="19">
                  <c:v>37230</c:v>
                </c:pt>
                <c:pt idx="20">
                  <c:v>37230</c:v>
                </c:pt>
              </c:numCache>
            </c:numRef>
          </c:val>
          <c:extLst>
            <c:ext xmlns:c16="http://schemas.microsoft.com/office/drawing/2014/chart" uri="{C3380CC4-5D6E-409C-BE32-E72D297353CC}">
              <c16:uniqueId val="{00000007-00C3-4E96-8BD2-C23A309A632C}"/>
            </c:ext>
          </c:extLst>
        </c:ser>
        <c:ser>
          <c:idx val="8"/>
          <c:order val="8"/>
          <c:tx>
            <c:strRef>
              <c:f>Graphs!$D$16</c:f>
              <c:strCache>
                <c:ptCount val="1"/>
                <c:pt idx="0">
                  <c:v>Existing natural gas</c:v>
                </c:pt>
              </c:strCache>
            </c:strRef>
          </c:tx>
          <c:spPr>
            <a:pattFill prst="ltDnDiag">
              <a:fgClr>
                <a:schemeClr val="bg2">
                  <a:lumMod val="50000"/>
                </a:schemeClr>
              </a:fgClr>
              <a:bgClr>
                <a:schemeClr val="bg1"/>
              </a:bgClr>
            </a:patt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Graphs!$E$16:$Y$16</c:f>
              <c:numCache>
                <c:formatCode>_(* #,##0_);_(* \(#,##0\);_(* "-"??_);_(@_)</c:formatCode>
                <c:ptCount val="21"/>
                <c:pt idx="0">
                  <c:v>3875855.7150321514</c:v>
                </c:pt>
                <c:pt idx="1">
                  <c:v>4204795.5495570004</c:v>
                </c:pt>
                <c:pt idx="2">
                  <c:v>4475347.2606733171</c:v>
                </c:pt>
                <c:pt idx="3">
                  <c:v>4692441.8888248773</c:v>
                </c:pt>
                <c:pt idx="4">
                  <c:v>5426028.4641763652</c:v>
                </c:pt>
                <c:pt idx="5">
                  <c:v>5718182.0382411722</c:v>
                </c:pt>
                <c:pt idx="6">
                  <c:v>6857813.3036782192</c:v>
                </c:pt>
                <c:pt idx="7">
                  <c:v>6556082.4895821987</c:v>
                </c:pt>
                <c:pt idx="8">
                  <c:v>6298859.812753248</c:v>
                </c:pt>
                <c:pt idx="9">
                  <c:v>799722.24241293105</c:v>
                </c:pt>
                <c:pt idx="10">
                  <c:v>0</c:v>
                </c:pt>
                <c:pt idx="11">
                  <c:v>0</c:v>
                </c:pt>
                <c:pt idx="12">
                  <c:v>0</c:v>
                </c:pt>
                <c:pt idx="13">
                  <c:v>0</c:v>
                </c:pt>
                <c:pt idx="14">
                  <c:v>0</c:v>
                </c:pt>
                <c:pt idx="15">
                  <c:v>189084.27459123899</c:v>
                </c:pt>
                <c:pt idx="16">
                  <c:v>1150563.4412579094</c:v>
                </c:pt>
                <c:pt idx="17">
                  <c:v>2166011.3579245759</c:v>
                </c:pt>
                <c:pt idx="18">
                  <c:v>3238282.1912579113</c:v>
                </c:pt>
                <c:pt idx="19">
                  <c:v>3275365.5245912462</c:v>
                </c:pt>
                <c:pt idx="20">
                  <c:v>4076248.857924575</c:v>
                </c:pt>
              </c:numCache>
            </c:numRef>
          </c:val>
          <c:extLst>
            <c:ext xmlns:c16="http://schemas.microsoft.com/office/drawing/2014/chart" uri="{C3380CC4-5D6E-409C-BE32-E72D297353CC}">
              <c16:uniqueId val="{00000008-00C3-4E96-8BD2-C23A309A632C}"/>
            </c:ext>
          </c:extLst>
        </c:ser>
        <c:ser>
          <c:idx val="9"/>
          <c:order val="9"/>
          <c:tx>
            <c:strRef>
              <c:f>Graphs!$D$17</c:f>
              <c:strCache>
                <c:ptCount val="1"/>
                <c:pt idx="0">
                  <c:v>New natural gas</c:v>
                </c:pt>
              </c:strCache>
            </c:strRef>
          </c:tx>
          <c:spPr>
            <a:solidFill>
              <a:schemeClr val="bg2">
                <a:lumMod val="50000"/>
              </a:schemeClr>
            </a:solidFill>
            <a:ln w="25400">
              <a:noFill/>
            </a:ln>
            <a:effectLst/>
          </c:spPr>
          <c:cat>
            <c:numRef>
              <c:f>Graphs!$E$7:$Y$7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Graphs!$E$17:$Y$17</c:f>
              <c:numCache>
                <c:formatCode>_(* #,##0_);_(* \(#,##0\);_(* "-"??_);_(@_)</c:formatCode>
                <c:ptCount val="21"/>
                <c:pt idx="0">
                  <c:v>0</c:v>
                </c:pt>
                <c:pt idx="1">
                  <c:v>0</c:v>
                </c:pt>
                <c:pt idx="2">
                  <c:v>0</c:v>
                </c:pt>
                <c:pt idx="3">
                  <c:v>0</c:v>
                </c:pt>
                <c:pt idx="4">
                  <c:v>0</c:v>
                </c:pt>
                <c:pt idx="5">
                  <c:v>0</c:v>
                </c:pt>
                <c:pt idx="6">
                  <c:v>0</c:v>
                </c:pt>
                <c:pt idx="7">
                  <c:v>0</c:v>
                </c:pt>
                <c:pt idx="8">
                  <c:v>0</c:v>
                </c:pt>
                <c:pt idx="9">
                  <c:v>5794004.1599999992</c:v>
                </c:pt>
                <c:pt idx="10">
                  <c:v>7047060.8569862628</c:v>
                </c:pt>
                <c:pt idx="11">
                  <c:v>5908458.371674574</c:v>
                </c:pt>
                <c:pt idx="12">
                  <c:v>6680784.4445912428</c:v>
                </c:pt>
                <c:pt idx="13">
                  <c:v>7496096.9445912447</c:v>
                </c:pt>
                <c:pt idx="14">
                  <c:v>8357638.6112579079</c:v>
                </c:pt>
                <c:pt idx="15">
                  <c:v>9078793.9199999999</c:v>
                </c:pt>
                <c:pt idx="16">
                  <c:v>9078793.9199999999</c:v>
                </c:pt>
                <c:pt idx="17">
                  <c:v>9078793.9199999999</c:v>
                </c:pt>
                <c:pt idx="18">
                  <c:v>9078793.9199999999</c:v>
                </c:pt>
                <c:pt idx="19">
                  <c:v>9078793.9199999999</c:v>
                </c:pt>
                <c:pt idx="20">
                  <c:v>9078793.9199999999</c:v>
                </c:pt>
              </c:numCache>
            </c:numRef>
          </c:val>
          <c:extLst>
            <c:ext xmlns:c16="http://schemas.microsoft.com/office/drawing/2014/chart" uri="{C3380CC4-5D6E-409C-BE32-E72D297353CC}">
              <c16:uniqueId val="{00000009-00C3-4E96-8BD2-C23A309A632C}"/>
            </c:ext>
          </c:extLst>
        </c:ser>
        <c:dLbls>
          <c:showLegendKey val="0"/>
          <c:showVal val="0"/>
          <c:showCatName val="0"/>
          <c:showSerName val="0"/>
          <c:showPercent val="0"/>
          <c:showBubbleSize val="0"/>
        </c:dLbls>
        <c:axId val="319082192"/>
        <c:axId val="319080880"/>
      </c:areaChart>
      <c:catAx>
        <c:axId val="3190821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319080880"/>
        <c:crosses val="autoZero"/>
        <c:auto val="1"/>
        <c:lblAlgn val="ctr"/>
        <c:lblOffset val="100"/>
        <c:noMultiLvlLbl val="0"/>
      </c:catAx>
      <c:valAx>
        <c:axId val="319080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crossAx val="31908219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a:t>Nationally</a:t>
            </a:r>
            <a:r>
              <a:rPr lang="en-US" sz="1800" b="1" baseline="0"/>
              <a:t> determined contribution</a:t>
            </a:r>
          </a:p>
          <a:p>
            <a:pPr>
              <a:defRPr/>
            </a:pPr>
            <a:r>
              <a:rPr lang="en-US" sz="1800" b="1" baseline="0"/>
              <a:t> Power generation by type of energy source </a:t>
            </a:r>
          </a:p>
          <a:p>
            <a:pPr>
              <a:defRPr/>
            </a:pPr>
            <a:r>
              <a:rPr lang="en-US" baseline="0"/>
              <a:t>[MWh]</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manualLayout>
          <c:layoutTarget val="inner"/>
          <c:xMode val="edge"/>
          <c:yMode val="edge"/>
          <c:x val="0.11207409172937451"/>
          <c:y val="0.17408826988482853"/>
          <c:w val="0.84620518233511521"/>
          <c:h val="0.64500024217949437"/>
        </c:manualLayout>
      </c:layout>
      <c:areaChart>
        <c:grouping val="stacked"/>
        <c:varyColors val="0"/>
        <c:ser>
          <c:idx val="1"/>
          <c:order val="1"/>
          <c:tx>
            <c:strRef>
              <c:f>Graphs!$D$51</c:f>
              <c:strCache>
                <c:ptCount val="1"/>
                <c:pt idx="0">
                  <c:v>Existing hydro</c:v>
                </c:pt>
              </c:strCache>
            </c:strRef>
          </c:tx>
          <c:spPr>
            <a:pattFill prst="ltDnDiag">
              <a:fgClr>
                <a:schemeClr val="accent1"/>
              </a:fgClr>
              <a:bgClr>
                <a:schemeClr val="bg1"/>
              </a:bgClr>
            </a:patt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Graphs!$E$51:$Y$51</c:f>
              <c:numCache>
                <c:formatCode>_(* #,##0_);_(* \(#,##0\);_(* "-"??_);_(@_)</c:formatCode>
                <c:ptCount val="21"/>
                <c:pt idx="0">
                  <c:v>2151428.9800358461</c:v>
                </c:pt>
                <c:pt idx="1">
                  <c:v>2324105.4636729998</c:v>
                </c:pt>
                <c:pt idx="2">
                  <c:v>2322084.4652733332</c:v>
                </c:pt>
                <c:pt idx="3">
                  <c:v>2514863.618699627</c:v>
                </c:pt>
                <c:pt idx="4">
                  <c:v>2232992.8565350003</c:v>
                </c:pt>
                <c:pt idx="5">
                  <c:v>2439591.1513262745</c:v>
                </c:pt>
                <c:pt idx="6">
                  <c:v>1715604.4612500004</c:v>
                </c:pt>
                <c:pt idx="7">
                  <c:v>2229863.9013999989</c:v>
                </c:pt>
                <c:pt idx="8">
                  <c:v>2651238.9793254239</c:v>
                </c:pt>
                <c:pt idx="9">
                  <c:v>2640951.1156587573</c:v>
                </c:pt>
                <c:pt idx="10">
                  <c:v>2640951.1156587573</c:v>
                </c:pt>
                <c:pt idx="11">
                  <c:v>2640951.1156587573</c:v>
                </c:pt>
                <c:pt idx="12">
                  <c:v>2640951.1156587573</c:v>
                </c:pt>
                <c:pt idx="13">
                  <c:v>2640951.1156587573</c:v>
                </c:pt>
                <c:pt idx="14">
                  <c:v>2640951.1156587573</c:v>
                </c:pt>
                <c:pt idx="15">
                  <c:v>2640951.1156587573</c:v>
                </c:pt>
                <c:pt idx="16">
                  <c:v>2640951.1156587573</c:v>
                </c:pt>
                <c:pt idx="17">
                  <c:v>2640951.1156587573</c:v>
                </c:pt>
                <c:pt idx="18">
                  <c:v>2640951.1156587573</c:v>
                </c:pt>
                <c:pt idx="19">
                  <c:v>2640951.1156587573</c:v>
                </c:pt>
                <c:pt idx="20">
                  <c:v>2640951.1156587573</c:v>
                </c:pt>
              </c:numCache>
            </c:numRef>
          </c:val>
          <c:extLst>
            <c:ext xmlns:c16="http://schemas.microsoft.com/office/drawing/2014/chart" uri="{C3380CC4-5D6E-409C-BE32-E72D297353CC}">
              <c16:uniqueId val="{00000001-D370-4841-A4C9-B2679B6C0810}"/>
            </c:ext>
          </c:extLst>
        </c:ser>
        <c:ser>
          <c:idx val="2"/>
          <c:order val="2"/>
          <c:tx>
            <c:strRef>
              <c:f>Graphs!$D$52</c:f>
              <c:strCache>
                <c:ptCount val="1"/>
                <c:pt idx="0">
                  <c:v>New hydro</c:v>
                </c:pt>
              </c:strCache>
            </c:strRef>
          </c:tx>
          <c:spPr>
            <a:solidFill>
              <a:schemeClr val="accent1"/>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Graphs!$E$52:$Y$52</c:f>
              <c:numCache>
                <c:formatCode>_(* #,##0_);_(* \(#,##0\);_(* "-"??_);_(@_)</c:formatCode>
                <c:ptCount val="21"/>
                <c:pt idx="0">
                  <c:v>0</c:v>
                </c:pt>
                <c:pt idx="1">
                  <c:v>0</c:v>
                </c:pt>
                <c:pt idx="2">
                  <c:v>0</c:v>
                </c:pt>
                <c:pt idx="3">
                  <c:v>0</c:v>
                </c:pt>
                <c:pt idx="4">
                  <c:v>0</c:v>
                </c:pt>
                <c:pt idx="5">
                  <c:v>0</c:v>
                </c:pt>
                <c:pt idx="6">
                  <c:v>0</c:v>
                </c:pt>
                <c:pt idx="7">
                  <c:v>0</c:v>
                </c:pt>
                <c:pt idx="8">
                  <c:v>240900</c:v>
                </c:pt>
                <c:pt idx="9">
                  <c:v>543120</c:v>
                </c:pt>
                <c:pt idx="10">
                  <c:v>2938542</c:v>
                </c:pt>
                <c:pt idx="11">
                  <c:v>5103138</c:v>
                </c:pt>
                <c:pt idx="12">
                  <c:v>5103138</c:v>
                </c:pt>
                <c:pt idx="13">
                  <c:v>5103138</c:v>
                </c:pt>
                <c:pt idx="14">
                  <c:v>5103138</c:v>
                </c:pt>
                <c:pt idx="15">
                  <c:v>11200098</c:v>
                </c:pt>
                <c:pt idx="16">
                  <c:v>11200098</c:v>
                </c:pt>
                <c:pt idx="17">
                  <c:v>11200098</c:v>
                </c:pt>
                <c:pt idx="18">
                  <c:v>11200098</c:v>
                </c:pt>
                <c:pt idx="19">
                  <c:v>33205611.600000001</c:v>
                </c:pt>
                <c:pt idx="20">
                  <c:v>40564011.600000001</c:v>
                </c:pt>
              </c:numCache>
            </c:numRef>
          </c:val>
          <c:extLst>
            <c:ext xmlns:c16="http://schemas.microsoft.com/office/drawing/2014/chart" uri="{C3380CC4-5D6E-409C-BE32-E72D297353CC}">
              <c16:uniqueId val="{00000002-D370-4841-A4C9-B2679B6C0810}"/>
            </c:ext>
          </c:extLst>
        </c:ser>
        <c:ser>
          <c:idx val="3"/>
          <c:order val="3"/>
          <c:tx>
            <c:strRef>
              <c:f>Graphs!$D$53</c:f>
              <c:strCache>
                <c:ptCount val="1"/>
                <c:pt idx="0">
                  <c:v>Existing wind</c:v>
                </c:pt>
              </c:strCache>
            </c:strRef>
          </c:tx>
          <c:spPr>
            <a:pattFill prst="ltDnDiag">
              <a:fgClr>
                <a:schemeClr val="accent2"/>
              </a:fgClr>
              <a:bgClr>
                <a:schemeClr val="bg1"/>
              </a:bgClr>
            </a:patt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Graphs!$E$53:$Y$53</c:f>
              <c:numCache>
                <c:formatCode>_(* #,##0_);_(* \(#,##0\);_(* "-"??_);_(@_)</c:formatCode>
                <c:ptCount val="21"/>
                <c:pt idx="0">
                  <c:v>0</c:v>
                </c:pt>
                <c:pt idx="1">
                  <c:v>0</c:v>
                </c:pt>
                <c:pt idx="2">
                  <c:v>0</c:v>
                </c:pt>
                <c:pt idx="3">
                  <c:v>36.528500000000001</c:v>
                </c:pt>
                <c:pt idx="4">
                  <c:v>8157.7569999999996</c:v>
                </c:pt>
                <c:pt idx="5">
                  <c:v>11450.126</c:v>
                </c:pt>
                <c:pt idx="6">
                  <c:v>34911.444000000003</c:v>
                </c:pt>
                <c:pt idx="7">
                  <c:v>60383.278999999995</c:v>
                </c:pt>
                <c:pt idx="8">
                  <c:v>86072.578999999998</c:v>
                </c:pt>
                <c:pt idx="9">
                  <c:v>86072.578999999998</c:v>
                </c:pt>
                <c:pt idx="10">
                  <c:v>86072.578999999998</c:v>
                </c:pt>
                <c:pt idx="11">
                  <c:v>86072.578999999998</c:v>
                </c:pt>
                <c:pt idx="12">
                  <c:v>86072.578999999998</c:v>
                </c:pt>
                <c:pt idx="13">
                  <c:v>86072.578999999998</c:v>
                </c:pt>
                <c:pt idx="14">
                  <c:v>86072.578999999998</c:v>
                </c:pt>
                <c:pt idx="15">
                  <c:v>86072.578999999998</c:v>
                </c:pt>
                <c:pt idx="16">
                  <c:v>86072.578999999998</c:v>
                </c:pt>
                <c:pt idx="17">
                  <c:v>86072.578999999998</c:v>
                </c:pt>
                <c:pt idx="18">
                  <c:v>86072.578999999998</c:v>
                </c:pt>
                <c:pt idx="19">
                  <c:v>86072.578999999998</c:v>
                </c:pt>
                <c:pt idx="20">
                  <c:v>86072.578999999998</c:v>
                </c:pt>
              </c:numCache>
            </c:numRef>
          </c:val>
          <c:extLst>
            <c:ext xmlns:c16="http://schemas.microsoft.com/office/drawing/2014/chart" uri="{C3380CC4-5D6E-409C-BE32-E72D297353CC}">
              <c16:uniqueId val="{00000003-D370-4841-A4C9-B2679B6C0810}"/>
            </c:ext>
          </c:extLst>
        </c:ser>
        <c:ser>
          <c:idx val="4"/>
          <c:order val="4"/>
          <c:tx>
            <c:strRef>
              <c:f>Graphs!$D$54</c:f>
              <c:strCache>
                <c:ptCount val="1"/>
                <c:pt idx="0">
                  <c:v>New wind</c:v>
                </c:pt>
              </c:strCache>
            </c:strRef>
          </c:tx>
          <c:spPr>
            <a:solidFill>
              <a:schemeClr val="accent2"/>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Graphs!$E$54:$Y$54</c:f>
              <c:numCache>
                <c:formatCode>_(* #,##0_);_(* \(#,##0\);_(* "-"??_);_(@_)</c:formatCode>
                <c:ptCount val="21"/>
                <c:pt idx="0">
                  <c:v>0</c:v>
                </c:pt>
                <c:pt idx="1">
                  <c:v>0</c:v>
                </c:pt>
                <c:pt idx="2">
                  <c:v>0</c:v>
                </c:pt>
                <c:pt idx="3">
                  <c:v>0</c:v>
                </c:pt>
                <c:pt idx="4">
                  <c:v>0</c:v>
                </c:pt>
                <c:pt idx="5">
                  <c:v>0</c:v>
                </c:pt>
                <c:pt idx="6">
                  <c:v>0</c:v>
                </c:pt>
                <c:pt idx="7">
                  <c:v>0</c:v>
                </c:pt>
                <c:pt idx="8">
                  <c:v>0</c:v>
                </c:pt>
                <c:pt idx="9">
                  <c:v>0</c:v>
                </c:pt>
                <c:pt idx="10">
                  <c:v>331128</c:v>
                </c:pt>
                <c:pt idx="11">
                  <c:v>469098</c:v>
                </c:pt>
                <c:pt idx="12">
                  <c:v>469098</c:v>
                </c:pt>
                <c:pt idx="13">
                  <c:v>469098</c:v>
                </c:pt>
                <c:pt idx="14">
                  <c:v>469098</c:v>
                </c:pt>
                <c:pt idx="15">
                  <c:v>469098</c:v>
                </c:pt>
                <c:pt idx="16">
                  <c:v>469098</c:v>
                </c:pt>
                <c:pt idx="17">
                  <c:v>469098</c:v>
                </c:pt>
                <c:pt idx="18">
                  <c:v>469098</c:v>
                </c:pt>
                <c:pt idx="19">
                  <c:v>469098</c:v>
                </c:pt>
                <c:pt idx="20">
                  <c:v>1315314</c:v>
                </c:pt>
              </c:numCache>
            </c:numRef>
          </c:val>
          <c:extLst>
            <c:ext xmlns:c16="http://schemas.microsoft.com/office/drawing/2014/chart" uri="{C3380CC4-5D6E-409C-BE32-E72D297353CC}">
              <c16:uniqueId val="{00000004-D370-4841-A4C9-B2679B6C0810}"/>
            </c:ext>
          </c:extLst>
        </c:ser>
        <c:ser>
          <c:idx val="5"/>
          <c:order val="5"/>
          <c:tx>
            <c:strRef>
              <c:f>Graphs!$D$55</c:f>
              <c:strCache>
                <c:ptCount val="1"/>
                <c:pt idx="0">
                  <c:v>New solar</c:v>
                </c:pt>
              </c:strCache>
            </c:strRef>
          </c:tx>
          <c:spPr>
            <a:solidFill>
              <a:schemeClr val="accent4"/>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Graphs!$E$55:$Y$55</c:f>
              <c:numCache>
                <c:formatCode>_(* #,##0_);_(* \(#,##0\);_(* "-"??_);_(@_)</c:formatCode>
                <c:ptCount val="21"/>
                <c:pt idx="0">
                  <c:v>0</c:v>
                </c:pt>
                <c:pt idx="1">
                  <c:v>0</c:v>
                </c:pt>
                <c:pt idx="2">
                  <c:v>0</c:v>
                </c:pt>
                <c:pt idx="3">
                  <c:v>0</c:v>
                </c:pt>
                <c:pt idx="4">
                  <c:v>0</c:v>
                </c:pt>
                <c:pt idx="5">
                  <c:v>0</c:v>
                </c:pt>
                <c:pt idx="6">
                  <c:v>0</c:v>
                </c:pt>
                <c:pt idx="7">
                  <c:v>0</c:v>
                </c:pt>
                <c:pt idx="8">
                  <c:v>136656</c:v>
                </c:pt>
                <c:pt idx="9">
                  <c:v>346896</c:v>
                </c:pt>
                <c:pt idx="10">
                  <c:v>357408</c:v>
                </c:pt>
                <c:pt idx="11">
                  <c:v>357408</c:v>
                </c:pt>
                <c:pt idx="12">
                  <c:v>357408</c:v>
                </c:pt>
                <c:pt idx="13">
                  <c:v>357408</c:v>
                </c:pt>
                <c:pt idx="14">
                  <c:v>357408</c:v>
                </c:pt>
                <c:pt idx="15">
                  <c:v>357408</c:v>
                </c:pt>
                <c:pt idx="16">
                  <c:v>357408</c:v>
                </c:pt>
                <c:pt idx="17">
                  <c:v>357408</c:v>
                </c:pt>
                <c:pt idx="18">
                  <c:v>357408</c:v>
                </c:pt>
                <c:pt idx="19">
                  <c:v>357408</c:v>
                </c:pt>
                <c:pt idx="20">
                  <c:v>777888</c:v>
                </c:pt>
              </c:numCache>
            </c:numRef>
          </c:val>
          <c:extLst>
            <c:ext xmlns:c16="http://schemas.microsoft.com/office/drawing/2014/chart" uri="{C3380CC4-5D6E-409C-BE32-E72D297353CC}">
              <c16:uniqueId val="{00000005-D370-4841-A4C9-B2679B6C0810}"/>
            </c:ext>
          </c:extLst>
        </c:ser>
        <c:ser>
          <c:idx val="6"/>
          <c:order val="6"/>
          <c:tx>
            <c:strRef>
              <c:f>Graphs!$D$56</c:f>
              <c:strCache>
                <c:ptCount val="1"/>
                <c:pt idx="0">
                  <c:v>Existing biomass</c:v>
                </c:pt>
              </c:strCache>
            </c:strRef>
          </c:tx>
          <c:spPr>
            <a:pattFill prst="ltDnDiag">
              <a:fgClr>
                <a:schemeClr val="accent6"/>
              </a:fgClr>
              <a:bgClr>
                <a:schemeClr val="bg1"/>
              </a:bgClr>
            </a:patt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Graphs!$E$56:$Y$56</c:f>
              <c:numCache>
                <c:formatCode>_(* #,##0_);_(* \(#,##0\);_(* "-"??_);_(@_)</c:formatCode>
                <c:ptCount val="21"/>
                <c:pt idx="0">
                  <c:v>58156.17</c:v>
                </c:pt>
                <c:pt idx="1">
                  <c:v>64040.52</c:v>
                </c:pt>
                <c:pt idx="2">
                  <c:v>64494.2</c:v>
                </c:pt>
                <c:pt idx="3">
                  <c:v>79491</c:v>
                </c:pt>
                <c:pt idx="4">
                  <c:v>76309.624999999985</c:v>
                </c:pt>
                <c:pt idx="5">
                  <c:v>79093.507500000007</c:v>
                </c:pt>
                <c:pt idx="6">
                  <c:v>61193.049750000006</c:v>
                </c:pt>
                <c:pt idx="7">
                  <c:v>44047.566999999995</c:v>
                </c:pt>
                <c:pt idx="8">
                  <c:v>61776.900333333338</c:v>
                </c:pt>
                <c:pt idx="9">
                  <c:v>61776.900333333338</c:v>
                </c:pt>
                <c:pt idx="10">
                  <c:v>61776.900333333338</c:v>
                </c:pt>
                <c:pt idx="11">
                  <c:v>61776.900333333338</c:v>
                </c:pt>
                <c:pt idx="12">
                  <c:v>61776.900333333338</c:v>
                </c:pt>
                <c:pt idx="13">
                  <c:v>61776.900333333338</c:v>
                </c:pt>
                <c:pt idx="14">
                  <c:v>61776.900333333338</c:v>
                </c:pt>
                <c:pt idx="15">
                  <c:v>61776.900333333338</c:v>
                </c:pt>
                <c:pt idx="16">
                  <c:v>61776.900333333338</c:v>
                </c:pt>
                <c:pt idx="17">
                  <c:v>61776.900333333338</c:v>
                </c:pt>
                <c:pt idx="18">
                  <c:v>61776.900333333338</c:v>
                </c:pt>
                <c:pt idx="19">
                  <c:v>61776.900333333338</c:v>
                </c:pt>
                <c:pt idx="20">
                  <c:v>61776.900333333338</c:v>
                </c:pt>
              </c:numCache>
            </c:numRef>
          </c:val>
          <c:extLst>
            <c:ext xmlns:c16="http://schemas.microsoft.com/office/drawing/2014/chart" uri="{C3380CC4-5D6E-409C-BE32-E72D297353CC}">
              <c16:uniqueId val="{00000006-D370-4841-A4C9-B2679B6C0810}"/>
            </c:ext>
          </c:extLst>
        </c:ser>
        <c:ser>
          <c:idx val="7"/>
          <c:order val="7"/>
          <c:tx>
            <c:strRef>
              <c:f>Graphs!$D$57</c:f>
              <c:strCache>
                <c:ptCount val="1"/>
                <c:pt idx="0">
                  <c:v>New biomass</c:v>
                </c:pt>
              </c:strCache>
            </c:strRef>
          </c:tx>
          <c:spPr>
            <a:solidFill>
              <a:schemeClr val="accent6"/>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Graphs!$E$57:$Y$57</c:f>
              <c:numCache>
                <c:formatCode>_(* #,##0_);_(* \(#,##0\);_(* "-"??_);_(@_)</c:formatCode>
                <c:ptCount val="21"/>
              </c:numCache>
            </c:numRef>
          </c:val>
          <c:extLst>
            <c:ext xmlns:c16="http://schemas.microsoft.com/office/drawing/2014/chart" uri="{C3380CC4-5D6E-409C-BE32-E72D297353CC}">
              <c16:uniqueId val="{00000007-D370-4841-A4C9-B2679B6C0810}"/>
            </c:ext>
          </c:extLst>
        </c:ser>
        <c:ser>
          <c:idx val="8"/>
          <c:order val="8"/>
          <c:tx>
            <c:strRef>
              <c:f>Graphs!$D$58</c:f>
              <c:strCache>
                <c:ptCount val="1"/>
                <c:pt idx="0">
                  <c:v>New geothermal</c:v>
                </c:pt>
              </c:strCache>
            </c:strRef>
          </c:tx>
          <c:spPr>
            <a:solidFill>
              <a:schemeClr val="accent3">
                <a:lumMod val="60000"/>
              </a:schemeClr>
            </a:solidFill>
            <a:ln w="25400">
              <a:noFill/>
            </a:ln>
            <a:effectLst>
              <a:outerShdw blurRad="50800" dist="50800" dir="5400000" algn="ctr" rotWithShape="0">
                <a:srgbClr val="C00000"/>
              </a:outerShdw>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Graphs!$E$58:$Y$58</c:f>
              <c:numCache>
                <c:formatCode>_(* #,##0_);_(* \(#,##0\);_(* "-"??_);_(@_)</c:formatCode>
                <c:ptCount val="21"/>
                <c:pt idx="0">
                  <c:v>0</c:v>
                </c:pt>
                <c:pt idx="1">
                  <c:v>0</c:v>
                </c:pt>
                <c:pt idx="2">
                  <c:v>0</c:v>
                </c:pt>
                <c:pt idx="3">
                  <c:v>0</c:v>
                </c:pt>
                <c:pt idx="4">
                  <c:v>0</c:v>
                </c:pt>
                <c:pt idx="5">
                  <c:v>0</c:v>
                </c:pt>
                <c:pt idx="6">
                  <c:v>0</c:v>
                </c:pt>
                <c:pt idx="7">
                  <c:v>0</c:v>
                </c:pt>
                <c:pt idx="8">
                  <c:v>0</c:v>
                </c:pt>
                <c:pt idx="9">
                  <c:v>0</c:v>
                </c:pt>
                <c:pt idx="10">
                  <c:v>37230</c:v>
                </c:pt>
                <c:pt idx="11">
                  <c:v>37230</c:v>
                </c:pt>
                <c:pt idx="12">
                  <c:v>37230</c:v>
                </c:pt>
                <c:pt idx="13">
                  <c:v>781830</c:v>
                </c:pt>
                <c:pt idx="14">
                  <c:v>781830</c:v>
                </c:pt>
                <c:pt idx="15">
                  <c:v>781830</c:v>
                </c:pt>
                <c:pt idx="16">
                  <c:v>781830</c:v>
                </c:pt>
                <c:pt idx="17">
                  <c:v>781830</c:v>
                </c:pt>
                <c:pt idx="18">
                  <c:v>781830</c:v>
                </c:pt>
                <c:pt idx="19">
                  <c:v>781830</c:v>
                </c:pt>
                <c:pt idx="20">
                  <c:v>781830</c:v>
                </c:pt>
              </c:numCache>
            </c:numRef>
          </c:val>
          <c:extLst>
            <c:ext xmlns:c16="http://schemas.microsoft.com/office/drawing/2014/chart" uri="{C3380CC4-5D6E-409C-BE32-E72D297353CC}">
              <c16:uniqueId val="{00000008-D370-4841-A4C9-B2679B6C0810}"/>
            </c:ext>
          </c:extLst>
        </c:ser>
        <c:ser>
          <c:idx val="9"/>
          <c:order val="9"/>
          <c:tx>
            <c:strRef>
              <c:f>Graphs!$D$59</c:f>
              <c:strCache>
                <c:ptCount val="1"/>
                <c:pt idx="0">
                  <c:v>Existing natural gas</c:v>
                </c:pt>
              </c:strCache>
            </c:strRef>
          </c:tx>
          <c:spPr>
            <a:pattFill prst="ltDnDiag">
              <a:fgClr>
                <a:schemeClr val="bg2">
                  <a:lumMod val="50000"/>
                </a:schemeClr>
              </a:fgClr>
              <a:bgClr>
                <a:schemeClr val="bg1"/>
              </a:bgClr>
            </a:patt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Graphs!$E$59:$Y$59</c:f>
              <c:numCache>
                <c:formatCode>_(* #,##0_);_(* \(#,##0\);_(* "-"??_);_(@_)</c:formatCode>
                <c:ptCount val="21"/>
                <c:pt idx="0">
                  <c:v>3875855.7150321514</c:v>
                </c:pt>
                <c:pt idx="1">
                  <c:v>4204795.5495570004</c:v>
                </c:pt>
                <c:pt idx="2">
                  <c:v>4475347.2606733171</c:v>
                </c:pt>
                <c:pt idx="3">
                  <c:v>4692441.8888248773</c:v>
                </c:pt>
                <c:pt idx="4">
                  <c:v>5426028.4641763652</c:v>
                </c:pt>
                <c:pt idx="5">
                  <c:v>5718182.0382411722</c:v>
                </c:pt>
                <c:pt idx="6">
                  <c:v>6857813.3036782192</c:v>
                </c:pt>
                <c:pt idx="7">
                  <c:v>6556082.4895821987</c:v>
                </c:pt>
                <c:pt idx="8">
                  <c:v>6373210.9984091837</c:v>
                </c:pt>
                <c:pt idx="9">
                  <c:v>6538663.1966314064</c:v>
                </c:pt>
                <c:pt idx="10">
                  <c:v>4144352.6042714287</c:v>
                </c:pt>
                <c:pt idx="11">
                  <c:v>4124031.4913455956</c:v>
                </c:pt>
                <c:pt idx="12">
                  <c:v>4124031.4913455956</c:v>
                </c:pt>
                <c:pt idx="13">
                  <c:v>4124031.4913455956</c:v>
                </c:pt>
                <c:pt idx="14">
                  <c:v>4124031.4913455956</c:v>
                </c:pt>
                <c:pt idx="15">
                  <c:v>4124031.4913455956</c:v>
                </c:pt>
                <c:pt idx="16">
                  <c:v>4124031.4913455956</c:v>
                </c:pt>
                <c:pt idx="17">
                  <c:v>4124031.4913455956</c:v>
                </c:pt>
                <c:pt idx="18">
                  <c:v>4124031.4913455956</c:v>
                </c:pt>
                <c:pt idx="19">
                  <c:v>4124031.4913455956</c:v>
                </c:pt>
                <c:pt idx="20">
                  <c:v>4124031.4913455956</c:v>
                </c:pt>
              </c:numCache>
            </c:numRef>
          </c:val>
          <c:extLst>
            <c:ext xmlns:c16="http://schemas.microsoft.com/office/drawing/2014/chart" uri="{C3380CC4-5D6E-409C-BE32-E72D297353CC}">
              <c16:uniqueId val="{00000009-D370-4841-A4C9-B2679B6C0810}"/>
            </c:ext>
          </c:extLst>
        </c:ser>
        <c:ser>
          <c:idx val="10"/>
          <c:order val="10"/>
          <c:tx>
            <c:strRef>
              <c:f>Graphs!$D$60</c:f>
              <c:strCache>
                <c:ptCount val="1"/>
                <c:pt idx="0">
                  <c:v>New natural gas</c:v>
                </c:pt>
              </c:strCache>
            </c:strRef>
          </c:tx>
          <c:spPr>
            <a:solidFill>
              <a:schemeClr val="bg2">
                <a:lumMod val="50000"/>
              </a:schemeClr>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Graphs!$E$60:$Y$60</c:f>
              <c:numCache>
                <c:formatCode>_(* #,##0_);_(* \(#,##0\);_(* "-"??_);_(@_)</c:formatCode>
                <c:ptCount val="21"/>
                <c:pt idx="0">
                  <c:v>0</c:v>
                </c:pt>
                <c:pt idx="1">
                  <c:v>0</c:v>
                </c:pt>
                <c:pt idx="2">
                  <c:v>0</c:v>
                </c:pt>
                <c:pt idx="3">
                  <c:v>0</c:v>
                </c:pt>
                <c:pt idx="4">
                  <c:v>0</c:v>
                </c:pt>
                <c:pt idx="5">
                  <c:v>0</c:v>
                </c:pt>
                <c:pt idx="6">
                  <c:v>0</c:v>
                </c:pt>
                <c:pt idx="7">
                  <c:v>0</c:v>
                </c:pt>
                <c:pt idx="8">
                  <c:v>0</c:v>
                </c:pt>
                <c:pt idx="9">
                  <c:v>2509214.4</c:v>
                </c:pt>
                <c:pt idx="10">
                  <c:v>9790105.9199999999</c:v>
                </c:pt>
                <c:pt idx="11">
                  <c:v>9790105.9199999999</c:v>
                </c:pt>
                <c:pt idx="12">
                  <c:v>9790105.9199999999</c:v>
                </c:pt>
                <c:pt idx="13">
                  <c:v>9790105.9199999999</c:v>
                </c:pt>
                <c:pt idx="14">
                  <c:v>9790105.9199999999</c:v>
                </c:pt>
                <c:pt idx="15">
                  <c:v>9790105.9199999999</c:v>
                </c:pt>
                <c:pt idx="16">
                  <c:v>9790105.9199999999</c:v>
                </c:pt>
                <c:pt idx="17">
                  <c:v>9790105.9199999999</c:v>
                </c:pt>
                <c:pt idx="18">
                  <c:v>9790105.9199999999</c:v>
                </c:pt>
                <c:pt idx="19">
                  <c:v>9790105.9199999999</c:v>
                </c:pt>
                <c:pt idx="20">
                  <c:v>9790105.9199999999</c:v>
                </c:pt>
              </c:numCache>
            </c:numRef>
          </c:val>
          <c:extLst>
            <c:ext xmlns:c16="http://schemas.microsoft.com/office/drawing/2014/chart" uri="{C3380CC4-5D6E-409C-BE32-E72D297353CC}">
              <c16:uniqueId val="{0000000B-D370-4841-A4C9-B2679B6C0810}"/>
            </c:ext>
          </c:extLst>
        </c:ser>
        <c:dLbls>
          <c:showLegendKey val="0"/>
          <c:showVal val="0"/>
          <c:showCatName val="0"/>
          <c:showSerName val="0"/>
          <c:showPercent val="0"/>
          <c:showBubbleSize val="0"/>
        </c:dLbls>
        <c:axId val="319082192"/>
        <c:axId val="319080880"/>
        <c:extLst>
          <c:ext xmlns:c15="http://schemas.microsoft.com/office/drawing/2012/chart" uri="{02D57815-91ED-43cb-92C2-25804820EDAC}">
            <c15:filteredAreaSeries>
              <c15:ser>
                <c:idx val="0"/>
                <c:order val="0"/>
                <c:tx>
                  <c:strRef>
                    <c:extLst>
                      <c:ext uri="{02D57815-91ED-43cb-92C2-25804820EDAC}">
                        <c15:formulaRef>
                          <c15:sqref>Graphs!$D$50</c15:sqref>
                        </c15:formulaRef>
                      </c:ext>
                    </c:extLst>
                    <c:strCache>
                      <c:ptCount val="1"/>
                      <c:pt idx="0">
                        <c:v>Source</c:v>
                      </c:pt>
                    </c:strCache>
                  </c:strRef>
                </c:tx>
                <c:spPr>
                  <a:solidFill>
                    <a:schemeClr val="accent1"/>
                  </a:solidFill>
                  <a:ln w="25400">
                    <a:noFill/>
                  </a:ln>
                  <a:effectLst/>
                </c:spPr>
                <c:cat>
                  <c:numRef>
                    <c:extLst>
                      <c:ext uri="{02D57815-91ED-43cb-92C2-25804820EDAC}">
                        <c15:formulaRef>
                          <c15:sqref>Graphs!$E$50:$Y$50</c15:sqref>
                        </c15:formulaRef>
                      </c:ext>
                    </c:extLst>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extLst>
                      <c:ext uri="{02D57815-91ED-43cb-92C2-25804820EDAC}">
                        <c15:formulaRef>
                          <c15:sqref>Graphs!$E$50:$Y$50</c15:sqref>
                        </c15:formulaRef>
                      </c:ext>
                    </c:extLst>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val>
                <c:extLst>
                  <c:ext xmlns:c16="http://schemas.microsoft.com/office/drawing/2014/chart" uri="{C3380CC4-5D6E-409C-BE32-E72D297353CC}">
                    <c16:uniqueId val="{00000000-D370-4841-A4C9-B2679B6C0810}"/>
                  </c:ext>
                </c:extLst>
              </c15:ser>
            </c15:filteredAreaSeries>
          </c:ext>
        </c:extLst>
      </c:areaChart>
      <c:catAx>
        <c:axId val="3190821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319080880"/>
        <c:crosses val="autoZero"/>
        <c:auto val="1"/>
        <c:lblAlgn val="ctr"/>
        <c:lblOffset val="100"/>
        <c:noMultiLvlLbl val="0"/>
      </c:catAx>
      <c:valAx>
        <c:axId val="319080880"/>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s-MX"/>
          </a:p>
        </c:txPr>
        <c:crossAx val="31908219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Nationally determined contribution</a:t>
            </a:r>
            <a:endParaRPr lang="en-US">
              <a:effectLst/>
            </a:endParaRPr>
          </a:p>
          <a:p>
            <a:pPr>
              <a:defRPr/>
            </a:pPr>
            <a:r>
              <a:rPr lang="en-US" sz="1800" b="1" i="0" baseline="0">
                <a:effectLst/>
              </a:rPr>
              <a:t>Fraction of power generation by type of energy source </a:t>
            </a:r>
            <a:endParaRPr lang="en-US">
              <a:effectLst/>
            </a:endParaRPr>
          </a:p>
          <a:p>
            <a:pPr>
              <a:defRPr/>
            </a:pPr>
            <a:r>
              <a:rPr lang="en-US" sz="1400" b="0" i="0" baseline="0">
                <a:effectLst/>
              </a:rPr>
              <a:t>[%]</a:t>
            </a:r>
            <a:endParaRPr lang="en-US" sz="14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areaChart>
        <c:grouping val="percentStacked"/>
        <c:varyColors val="0"/>
        <c:ser>
          <c:idx val="1"/>
          <c:order val="1"/>
          <c:tx>
            <c:strRef>
              <c:f>Graphs!$D$51</c:f>
              <c:strCache>
                <c:ptCount val="1"/>
                <c:pt idx="0">
                  <c:v>Existing hydro</c:v>
                </c:pt>
              </c:strCache>
            </c:strRef>
          </c:tx>
          <c:spPr>
            <a:pattFill prst="ltDnDiag">
              <a:fgClr>
                <a:schemeClr val="accent1"/>
              </a:fgClr>
              <a:bgClr>
                <a:schemeClr val="bg1"/>
              </a:bgClr>
            </a:patt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Graphs!$E$51:$Y$51</c:f>
              <c:numCache>
                <c:formatCode>_(* #,##0_);_(* \(#,##0\);_(* "-"??_);_(@_)</c:formatCode>
                <c:ptCount val="21"/>
                <c:pt idx="0">
                  <c:v>2151428.9800358461</c:v>
                </c:pt>
                <c:pt idx="1">
                  <c:v>2324105.4636729998</c:v>
                </c:pt>
                <c:pt idx="2">
                  <c:v>2322084.4652733332</c:v>
                </c:pt>
                <c:pt idx="3">
                  <c:v>2514863.618699627</c:v>
                </c:pt>
                <c:pt idx="4">
                  <c:v>2232992.8565350003</c:v>
                </c:pt>
                <c:pt idx="5">
                  <c:v>2439591.1513262745</c:v>
                </c:pt>
                <c:pt idx="6">
                  <c:v>1715604.4612500004</c:v>
                </c:pt>
                <c:pt idx="7">
                  <c:v>2229863.9013999989</c:v>
                </c:pt>
                <c:pt idx="8">
                  <c:v>2651238.9793254239</c:v>
                </c:pt>
                <c:pt idx="9">
                  <c:v>2640951.1156587573</c:v>
                </c:pt>
                <c:pt idx="10">
                  <c:v>2640951.1156587573</c:v>
                </c:pt>
                <c:pt idx="11">
                  <c:v>2640951.1156587573</c:v>
                </c:pt>
                <c:pt idx="12">
                  <c:v>2640951.1156587573</c:v>
                </c:pt>
                <c:pt idx="13">
                  <c:v>2640951.1156587573</c:v>
                </c:pt>
                <c:pt idx="14">
                  <c:v>2640951.1156587573</c:v>
                </c:pt>
                <c:pt idx="15">
                  <c:v>2640951.1156587573</c:v>
                </c:pt>
                <c:pt idx="16">
                  <c:v>2640951.1156587573</c:v>
                </c:pt>
                <c:pt idx="17">
                  <c:v>2640951.1156587573</c:v>
                </c:pt>
                <c:pt idx="18">
                  <c:v>2640951.1156587573</c:v>
                </c:pt>
                <c:pt idx="19">
                  <c:v>2640951.1156587573</c:v>
                </c:pt>
                <c:pt idx="20">
                  <c:v>2640951.1156587573</c:v>
                </c:pt>
              </c:numCache>
            </c:numRef>
          </c:val>
          <c:extLst>
            <c:ext xmlns:c16="http://schemas.microsoft.com/office/drawing/2014/chart" uri="{C3380CC4-5D6E-409C-BE32-E72D297353CC}">
              <c16:uniqueId val="{00000001-3603-4C70-81A6-0A59A41B2D30}"/>
            </c:ext>
          </c:extLst>
        </c:ser>
        <c:ser>
          <c:idx val="2"/>
          <c:order val="2"/>
          <c:tx>
            <c:strRef>
              <c:f>Graphs!$D$52</c:f>
              <c:strCache>
                <c:ptCount val="1"/>
                <c:pt idx="0">
                  <c:v>New hydro</c:v>
                </c:pt>
              </c:strCache>
            </c:strRef>
          </c:tx>
          <c:spPr>
            <a:solidFill>
              <a:schemeClr val="accent1"/>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Graphs!$E$52:$Y$52</c:f>
              <c:numCache>
                <c:formatCode>_(* #,##0_);_(* \(#,##0\);_(* "-"??_);_(@_)</c:formatCode>
                <c:ptCount val="21"/>
                <c:pt idx="0">
                  <c:v>0</c:v>
                </c:pt>
                <c:pt idx="1">
                  <c:v>0</c:v>
                </c:pt>
                <c:pt idx="2">
                  <c:v>0</c:v>
                </c:pt>
                <c:pt idx="3">
                  <c:v>0</c:v>
                </c:pt>
                <c:pt idx="4">
                  <c:v>0</c:v>
                </c:pt>
                <c:pt idx="5">
                  <c:v>0</c:v>
                </c:pt>
                <c:pt idx="6">
                  <c:v>0</c:v>
                </c:pt>
                <c:pt idx="7">
                  <c:v>0</c:v>
                </c:pt>
                <c:pt idx="8">
                  <c:v>240900</c:v>
                </c:pt>
                <c:pt idx="9">
                  <c:v>543120</c:v>
                </c:pt>
                <c:pt idx="10">
                  <c:v>2938542</c:v>
                </c:pt>
                <c:pt idx="11">
                  <c:v>5103138</c:v>
                </c:pt>
                <c:pt idx="12">
                  <c:v>5103138</c:v>
                </c:pt>
                <c:pt idx="13">
                  <c:v>5103138</c:v>
                </c:pt>
                <c:pt idx="14">
                  <c:v>5103138</c:v>
                </c:pt>
                <c:pt idx="15">
                  <c:v>11200098</c:v>
                </c:pt>
                <c:pt idx="16">
                  <c:v>11200098</c:v>
                </c:pt>
                <c:pt idx="17">
                  <c:v>11200098</c:v>
                </c:pt>
                <c:pt idx="18">
                  <c:v>11200098</c:v>
                </c:pt>
                <c:pt idx="19">
                  <c:v>33205611.600000001</c:v>
                </c:pt>
                <c:pt idx="20">
                  <c:v>40564011.600000001</c:v>
                </c:pt>
              </c:numCache>
            </c:numRef>
          </c:val>
          <c:extLst>
            <c:ext xmlns:c16="http://schemas.microsoft.com/office/drawing/2014/chart" uri="{C3380CC4-5D6E-409C-BE32-E72D297353CC}">
              <c16:uniqueId val="{00000002-3603-4C70-81A6-0A59A41B2D30}"/>
            </c:ext>
          </c:extLst>
        </c:ser>
        <c:ser>
          <c:idx val="3"/>
          <c:order val="3"/>
          <c:tx>
            <c:strRef>
              <c:f>Graphs!$D$53</c:f>
              <c:strCache>
                <c:ptCount val="1"/>
                <c:pt idx="0">
                  <c:v>Existing wind</c:v>
                </c:pt>
              </c:strCache>
            </c:strRef>
          </c:tx>
          <c:spPr>
            <a:pattFill prst="ltDnDiag">
              <a:fgClr>
                <a:schemeClr val="accent2"/>
              </a:fgClr>
              <a:bgClr>
                <a:schemeClr val="bg1"/>
              </a:bgClr>
            </a:patt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Graphs!$E$53:$Y$53</c:f>
              <c:numCache>
                <c:formatCode>_(* #,##0_);_(* \(#,##0\);_(* "-"??_);_(@_)</c:formatCode>
                <c:ptCount val="21"/>
                <c:pt idx="0">
                  <c:v>0</c:v>
                </c:pt>
                <c:pt idx="1">
                  <c:v>0</c:v>
                </c:pt>
                <c:pt idx="2">
                  <c:v>0</c:v>
                </c:pt>
                <c:pt idx="3">
                  <c:v>36.528500000000001</c:v>
                </c:pt>
                <c:pt idx="4">
                  <c:v>8157.7569999999996</c:v>
                </c:pt>
                <c:pt idx="5">
                  <c:v>11450.126</c:v>
                </c:pt>
                <c:pt idx="6">
                  <c:v>34911.444000000003</c:v>
                </c:pt>
                <c:pt idx="7">
                  <c:v>60383.278999999995</c:v>
                </c:pt>
                <c:pt idx="8">
                  <c:v>86072.578999999998</c:v>
                </c:pt>
                <c:pt idx="9">
                  <c:v>86072.578999999998</c:v>
                </c:pt>
                <c:pt idx="10">
                  <c:v>86072.578999999998</c:v>
                </c:pt>
                <c:pt idx="11">
                  <c:v>86072.578999999998</c:v>
                </c:pt>
                <c:pt idx="12">
                  <c:v>86072.578999999998</c:v>
                </c:pt>
                <c:pt idx="13">
                  <c:v>86072.578999999998</c:v>
                </c:pt>
                <c:pt idx="14">
                  <c:v>86072.578999999998</c:v>
                </c:pt>
                <c:pt idx="15">
                  <c:v>86072.578999999998</c:v>
                </c:pt>
                <c:pt idx="16">
                  <c:v>86072.578999999998</c:v>
                </c:pt>
                <c:pt idx="17">
                  <c:v>86072.578999999998</c:v>
                </c:pt>
                <c:pt idx="18">
                  <c:v>86072.578999999998</c:v>
                </c:pt>
                <c:pt idx="19">
                  <c:v>86072.578999999998</c:v>
                </c:pt>
                <c:pt idx="20">
                  <c:v>86072.578999999998</c:v>
                </c:pt>
              </c:numCache>
            </c:numRef>
          </c:val>
          <c:extLst>
            <c:ext xmlns:c16="http://schemas.microsoft.com/office/drawing/2014/chart" uri="{C3380CC4-5D6E-409C-BE32-E72D297353CC}">
              <c16:uniqueId val="{00000003-3603-4C70-81A6-0A59A41B2D30}"/>
            </c:ext>
          </c:extLst>
        </c:ser>
        <c:ser>
          <c:idx val="4"/>
          <c:order val="4"/>
          <c:tx>
            <c:strRef>
              <c:f>Graphs!$D$54</c:f>
              <c:strCache>
                <c:ptCount val="1"/>
                <c:pt idx="0">
                  <c:v>New wind</c:v>
                </c:pt>
              </c:strCache>
            </c:strRef>
          </c:tx>
          <c:spPr>
            <a:solidFill>
              <a:schemeClr val="accent2"/>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Graphs!$E$54:$Y$54</c:f>
              <c:numCache>
                <c:formatCode>_(* #,##0_);_(* \(#,##0\);_(* "-"??_);_(@_)</c:formatCode>
                <c:ptCount val="21"/>
                <c:pt idx="0">
                  <c:v>0</c:v>
                </c:pt>
                <c:pt idx="1">
                  <c:v>0</c:v>
                </c:pt>
                <c:pt idx="2">
                  <c:v>0</c:v>
                </c:pt>
                <c:pt idx="3">
                  <c:v>0</c:v>
                </c:pt>
                <c:pt idx="4">
                  <c:v>0</c:v>
                </c:pt>
                <c:pt idx="5">
                  <c:v>0</c:v>
                </c:pt>
                <c:pt idx="6">
                  <c:v>0</c:v>
                </c:pt>
                <c:pt idx="7">
                  <c:v>0</c:v>
                </c:pt>
                <c:pt idx="8">
                  <c:v>0</c:v>
                </c:pt>
                <c:pt idx="9">
                  <c:v>0</c:v>
                </c:pt>
                <c:pt idx="10">
                  <c:v>331128</c:v>
                </c:pt>
                <c:pt idx="11">
                  <c:v>469098</c:v>
                </c:pt>
                <c:pt idx="12">
                  <c:v>469098</c:v>
                </c:pt>
                <c:pt idx="13">
                  <c:v>469098</c:v>
                </c:pt>
                <c:pt idx="14">
                  <c:v>469098</c:v>
                </c:pt>
                <c:pt idx="15">
                  <c:v>469098</c:v>
                </c:pt>
                <c:pt idx="16">
                  <c:v>469098</c:v>
                </c:pt>
                <c:pt idx="17">
                  <c:v>469098</c:v>
                </c:pt>
                <c:pt idx="18">
                  <c:v>469098</c:v>
                </c:pt>
                <c:pt idx="19">
                  <c:v>469098</c:v>
                </c:pt>
                <c:pt idx="20">
                  <c:v>1315314</c:v>
                </c:pt>
              </c:numCache>
            </c:numRef>
          </c:val>
          <c:extLst>
            <c:ext xmlns:c16="http://schemas.microsoft.com/office/drawing/2014/chart" uri="{C3380CC4-5D6E-409C-BE32-E72D297353CC}">
              <c16:uniqueId val="{00000004-3603-4C70-81A6-0A59A41B2D30}"/>
            </c:ext>
          </c:extLst>
        </c:ser>
        <c:ser>
          <c:idx val="5"/>
          <c:order val="5"/>
          <c:tx>
            <c:strRef>
              <c:f>Graphs!$D$55</c:f>
              <c:strCache>
                <c:ptCount val="1"/>
                <c:pt idx="0">
                  <c:v>New solar</c:v>
                </c:pt>
              </c:strCache>
            </c:strRef>
          </c:tx>
          <c:spPr>
            <a:solidFill>
              <a:schemeClr val="accent3"/>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Graphs!$E$55:$Y$55</c:f>
              <c:numCache>
                <c:formatCode>_(* #,##0_);_(* \(#,##0\);_(* "-"??_);_(@_)</c:formatCode>
                <c:ptCount val="21"/>
                <c:pt idx="0">
                  <c:v>0</c:v>
                </c:pt>
                <c:pt idx="1">
                  <c:v>0</c:v>
                </c:pt>
                <c:pt idx="2">
                  <c:v>0</c:v>
                </c:pt>
                <c:pt idx="3">
                  <c:v>0</c:v>
                </c:pt>
                <c:pt idx="4">
                  <c:v>0</c:v>
                </c:pt>
                <c:pt idx="5">
                  <c:v>0</c:v>
                </c:pt>
                <c:pt idx="6">
                  <c:v>0</c:v>
                </c:pt>
                <c:pt idx="7">
                  <c:v>0</c:v>
                </c:pt>
                <c:pt idx="8">
                  <c:v>136656</c:v>
                </c:pt>
                <c:pt idx="9">
                  <c:v>346896</c:v>
                </c:pt>
                <c:pt idx="10">
                  <c:v>357408</c:v>
                </c:pt>
                <c:pt idx="11">
                  <c:v>357408</c:v>
                </c:pt>
                <c:pt idx="12">
                  <c:v>357408</c:v>
                </c:pt>
                <c:pt idx="13">
                  <c:v>357408</c:v>
                </c:pt>
                <c:pt idx="14">
                  <c:v>357408</c:v>
                </c:pt>
                <c:pt idx="15">
                  <c:v>357408</c:v>
                </c:pt>
                <c:pt idx="16">
                  <c:v>357408</c:v>
                </c:pt>
                <c:pt idx="17">
                  <c:v>357408</c:v>
                </c:pt>
                <c:pt idx="18">
                  <c:v>357408</c:v>
                </c:pt>
                <c:pt idx="19">
                  <c:v>357408</c:v>
                </c:pt>
                <c:pt idx="20">
                  <c:v>777888</c:v>
                </c:pt>
              </c:numCache>
            </c:numRef>
          </c:val>
          <c:extLst>
            <c:ext xmlns:c16="http://schemas.microsoft.com/office/drawing/2014/chart" uri="{C3380CC4-5D6E-409C-BE32-E72D297353CC}">
              <c16:uniqueId val="{00000005-3603-4C70-81A6-0A59A41B2D30}"/>
            </c:ext>
          </c:extLst>
        </c:ser>
        <c:ser>
          <c:idx val="6"/>
          <c:order val="6"/>
          <c:tx>
            <c:strRef>
              <c:f>Graphs!$D$56</c:f>
              <c:strCache>
                <c:ptCount val="1"/>
                <c:pt idx="0">
                  <c:v>Existing biomass</c:v>
                </c:pt>
              </c:strCache>
            </c:strRef>
          </c:tx>
          <c:spPr>
            <a:pattFill prst="ltDnDiag">
              <a:fgClr>
                <a:schemeClr val="accent6"/>
              </a:fgClr>
              <a:bgClr>
                <a:schemeClr val="bg1"/>
              </a:bgClr>
            </a:patt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Graphs!$E$56:$Y$56</c:f>
              <c:numCache>
                <c:formatCode>_(* #,##0_);_(* \(#,##0\);_(* "-"??_);_(@_)</c:formatCode>
                <c:ptCount val="21"/>
                <c:pt idx="0">
                  <c:v>58156.17</c:v>
                </c:pt>
                <c:pt idx="1">
                  <c:v>64040.52</c:v>
                </c:pt>
                <c:pt idx="2">
                  <c:v>64494.2</c:v>
                </c:pt>
                <c:pt idx="3">
                  <c:v>79491</c:v>
                </c:pt>
                <c:pt idx="4">
                  <c:v>76309.624999999985</c:v>
                </c:pt>
                <c:pt idx="5">
                  <c:v>79093.507500000007</c:v>
                </c:pt>
                <c:pt idx="6">
                  <c:v>61193.049750000006</c:v>
                </c:pt>
                <c:pt idx="7">
                  <c:v>44047.566999999995</c:v>
                </c:pt>
                <c:pt idx="8">
                  <c:v>61776.900333333338</c:v>
                </c:pt>
                <c:pt idx="9">
                  <c:v>61776.900333333338</c:v>
                </c:pt>
                <c:pt idx="10">
                  <c:v>61776.900333333338</c:v>
                </c:pt>
                <c:pt idx="11">
                  <c:v>61776.900333333338</c:v>
                </c:pt>
                <c:pt idx="12">
                  <c:v>61776.900333333338</c:v>
                </c:pt>
                <c:pt idx="13">
                  <c:v>61776.900333333338</c:v>
                </c:pt>
                <c:pt idx="14">
                  <c:v>61776.900333333338</c:v>
                </c:pt>
                <c:pt idx="15">
                  <c:v>61776.900333333338</c:v>
                </c:pt>
                <c:pt idx="16">
                  <c:v>61776.900333333338</c:v>
                </c:pt>
                <c:pt idx="17">
                  <c:v>61776.900333333338</c:v>
                </c:pt>
                <c:pt idx="18">
                  <c:v>61776.900333333338</c:v>
                </c:pt>
                <c:pt idx="19">
                  <c:v>61776.900333333338</c:v>
                </c:pt>
                <c:pt idx="20">
                  <c:v>61776.900333333338</c:v>
                </c:pt>
              </c:numCache>
            </c:numRef>
          </c:val>
          <c:extLst>
            <c:ext xmlns:c16="http://schemas.microsoft.com/office/drawing/2014/chart" uri="{C3380CC4-5D6E-409C-BE32-E72D297353CC}">
              <c16:uniqueId val="{00000006-3603-4C70-81A6-0A59A41B2D30}"/>
            </c:ext>
          </c:extLst>
        </c:ser>
        <c:ser>
          <c:idx val="7"/>
          <c:order val="7"/>
          <c:tx>
            <c:strRef>
              <c:f>Graphs!$D$57</c:f>
              <c:strCache>
                <c:ptCount val="1"/>
                <c:pt idx="0">
                  <c:v>New biomass</c:v>
                </c:pt>
              </c:strCache>
            </c:strRef>
          </c:tx>
          <c:spPr>
            <a:solidFill>
              <a:schemeClr val="accent6"/>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Graphs!$E$57:$Y$57</c:f>
              <c:numCache>
                <c:formatCode>_(* #,##0_);_(* \(#,##0\);_(* "-"??_);_(@_)</c:formatCode>
                <c:ptCount val="21"/>
              </c:numCache>
            </c:numRef>
          </c:val>
          <c:extLst>
            <c:ext xmlns:c16="http://schemas.microsoft.com/office/drawing/2014/chart" uri="{C3380CC4-5D6E-409C-BE32-E72D297353CC}">
              <c16:uniqueId val="{00000007-3603-4C70-81A6-0A59A41B2D30}"/>
            </c:ext>
          </c:extLst>
        </c:ser>
        <c:ser>
          <c:idx val="8"/>
          <c:order val="8"/>
          <c:tx>
            <c:strRef>
              <c:f>Graphs!$D$58</c:f>
              <c:strCache>
                <c:ptCount val="1"/>
                <c:pt idx="0">
                  <c:v>New geothermal</c:v>
                </c:pt>
              </c:strCache>
            </c:strRef>
          </c:tx>
          <c:spPr>
            <a:solidFill>
              <a:srgbClr val="C00000"/>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Graphs!$E$58:$Y$58</c:f>
              <c:numCache>
                <c:formatCode>_(* #,##0_);_(* \(#,##0\);_(* "-"??_);_(@_)</c:formatCode>
                <c:ptCount val="21"/>
                <c:pt idx="0">
                  <c:v>0</c:v>
                </c:pt>
                <c:pt idx="1">
                  <c:v>0</c:v>
                </c:pt>
                <c:pt idx="2">
                  <c:v>0</c:v>
                </c:pt>
                <c:pt idx="3">
                  <c:v>0</c:v>
                </c:pt>
                <c:pt idx="4">
                  <c:v>0</c:v>
                </c:pt>
                <c:pt idx="5">
                  <c:v>0</c:v>
                </c:pt>
                <c:pt idx="6">
                  <c:v>0</c:v>
                </c:pt>
                <c:pt idx="7">
                  <c:v>0</c:v>
                </c:pt>
                <c:pt idx="8">
                  <c:v>0</c:v>
                </c:pt>
                <c:pt idx="9">
                  <c:v>0</c:v>
                </c:pt>
                <c:pt idx="10">
                  <c:v>37230</c:v>
                </c:pt>
                <c:pt idx="11">
                  <c:v>37230</c:v>
                </c:pt>
                <c:pt idx="12">
                  <c:v>37230</c:v>
                </c:pt>
                <c:pt idx="13">
                  <c:v>781830</c:v>
                </c:pt>
                <c:pt idx="14">
                  <c:v>781830</c:v>
                </c:pt>
                <c:pt idx="15">
                  <c:v>781830</c:v>
                </c:pt>
                <c:pt idx="16">
                  <c:v>781830</c:v>
                </c:pt>
                <c:pt idx="17">
                  <c:v>781830</c:v>
                </c:pt>
                <c:pt idx="18">
                  <c:v>781830</c:v>
                </c:pt>
                <c:pt idx="19">
                  <c:v>781830</c:v>
                </c:pt>
                <c:pt idx="20">
                  <c:v>781830</c:v>
                </c:pt>
              </c:numCache>
            </c:numRef>
          </c:val>
          <c:extLst>
            <c:ext xmlns:c16="http://schemas.microsoft.com/office/drawing/2014/chart" uri="{C3380CC4-5D6E-409C-BE32-E72D297353CC}">
              <c16:uniqueId val="{00000008-3603-4C70-81A6-0A59A41B2D30}"/>
            </c:ext>
          </c:extLst>
        </c:ser>
        <c:ser>
          <c:idx val="9"/>
          <c:order val="9"/>
          <c:tx>
            <c:strRef>
              <c:f>Graphs!$D$59</c:f>
              <c:strCache>
                <c:ptCount val="1"/>
                <c:pt idx="0">
                  <c:v>Existing natural gas</c:v>
                </c:pt>
              </c:strCache>
            </c:strRef>
          </c:tx>
          <c:spPr>
            <a:pattFill prst="ltDnDiag">
              <a:fgClr>
                <a:schemeClr val="bg2">
                  <a:lumMod val="50000"/>
                </a:schemeClr>
              </a:fgClr>
              <a:bgClr>
                <a:schemeClr val="bg1"/>
              </a:bgClr>
            </a:patt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Graphs!$E$59:$Y$59</c:f>
              <c:numCache>
                <c:formatCode>_(* #,##0_);_(* \(#,##0\);_(* "-"??_);_(@_)</c:formatCode>
                <c:ptCount val="21"/>
                <c:pt idx="0">
                  <c:v>3875855.7150321514</c:v>
                </c:pt>
                <c:pt idx="1">
                  <c:v>4204795.5495570004</c:v>
                </c:pt>
                <c:pt idx="2">
                  <c:v>4475347.2606733171</c:v>
                </c:pt>
                <c:pt idx="3">
                  <c:v>4692441.8888248773</c:v>
                </c:pt>
                <c:pt idx="4">
                  <c:v>5426028.4641763652</c:v>
                </c:pt>
                <c:pt idx="5">
                  <c:v>5718182.0382411722</c:v>
                </c:pt>
                <c:pt idx="6">
                  <c:v>6857813.3036782192</c:v>
                </c:pt>
                <c:pt idx="7">
                  <c:v>6556082.4895821987</c:v>
                </c:pt>
                <c:pt idx="8">
                  <c:v>6373210.9984091837</c:v>
                </c:pt>
                <c:pt idx="9">
                  <c:v>6538663.1966314064</c:v>
                </c:pt>
                <c:pt idx="10">
                  <c:v>4144352.6042714287</c:v>
                </c:pt>
                <c:pt idx="11">
                  <c:v>4124031.4913455956</c:v>
                </c:pt>
                <c:pt idx="12">
                  <c:v>4124031.4913455956</c:v>
                </c:pt>
                <c:pt idx="13">
                  <c:v>4124031.4913455956</c:v>
                </c:pt>
                <c:pt idx="14">
                  <c:v>4124031.4913455956</c:v>
                </c:pt>
                <c:pt idx="15">
                  <c:v>4124031.4913455956</c:v>
                </c:pt>
                <c:pt idx="16">
                  <c:v>4124031.4913455956</c:v>
                </c:pt>
                <c:pt idx="17">
                  <c:v>4124031.4913455956</c:v>
                </c:pt>
                <c:pt idx="18">
                  <c:v>4124031.4913455956</c:v>
                </c:pt>
                <c:pt idx="19">
                  <c:v>4124031.4913455956</c:v>
                </c:pt>
                <c:pt idx="20">
                  <c:v>4124031.4913455956</c:v>
                </c:pt>
              </c:numCache>
            </c:numRef>
          </c:val>
          <c:extLst>
            <c:ext xmlns:c16="http://schemas.microsoft.com/office/drawing/2014/chart" uri="{C3380CC4-5D6E-409C-BE32-E72D297353CC}">
              <c16:uniqueId val="{00000009-3603-4C70-81A6-0A59A41B2D30}"/>
            </c:ext>
          </c:extLst>
        </c:ser>
        <c:ser>
          <c:idx val="10"/>
          <c:order val="10"/>
          <c:tx>
            <c:strRef>
              <c:f>Graphs!$D$60</c:f>
              <c:strCache>
                <c:ptCount val="1"/>
                <c:pt idx="0">
                  <c:v>New natural gas</c:v>
                </c:pt>
              </c:strCache>
            </c:strRef>
          </c:tx>
          <c:spPr>
            <a:solidFill>
              <a:schemeClr val="bg2">
                <a:lumMod val="50000"/>
              </a:schemeClr>
            </a:solidFill>
            <a:ln w="25400">
              <a:noFill/>
            </a:ln>
            <a:effectLst/>
          </c:spPr>
          <c:cat>
            <c:numRef>
              <c:f>Graphs!$E$50:$Y$50</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Graphs!$E$60:$Y$60</c:f>
              <c:numCache>
                <c:formatCode>_(* #,##0_);_(* \(#,##0\);_(* "-"??_);_(@_)</c:formatCode>
                <c:ptCount val="21"/>
                <c:pt idx="0">
                  <c:v>0</c:v>
                </c:pt>
                <c:pt idx="1">
                  <c:v>0</c:v>
                </c:pt>
                <c:pt idx="2">
                  <c:v>0</c:v>
                </c:pt>
                <c:pt idx="3">
                  <c:v>0</c:v>
                </c:pt>
                <c:pt idx="4">
                  <c:v>0</c:v>
                </c:pt>
                <c:pt idx="5">
                  <c:v>0</c:v>
                </c:pt>
                <c:pt idx="6">
                  <c:v>0</c:v>
                </c:pt>
                <c:pt idx="7">
                  <c:v>0</c:v>
                </c:pt>
                <c:pt idx="8">
                  <c:v>0</c:v>
                </c:pt>
                <c:pt idx="9">
                  <c:v>2509214.4</c:v>
                </c:pt>
                <c:pt idx="10">
                  <c:v>9790105.9199999999</c:v>
                </c:pt>
                <c:pt idx="11">
                  <c:v>9790105.9199999999</c:v>
                </c:pt>
                <c:pt idx="12">
                  <c:v>9790105.9199999999</c:v>
                </c:pt>
                <c:pt idx="13">
                  <c:v>9790105.9199999999</c:v>
                </c:pt>
                <c:pt idx="14">
                  <c:v>9790105.9199999999</c:v>
                </c:pt>
                <c:pt idx="15">
                  <c:v>9790105.9199999999</c:v>
                </c:pt>
                <c:pt idx="16">
                  <c:v>9790105.9199999999</c:v>
                </c:pt>
                <c:pt idx="17">
                  <c:v>9790105.9199999999</c:v>
                </c:pt>
                <c:pt idx="18">
                  <c:v>9790105.9199999999</c:v>
                </c:pt>
                <c:pt idx="19">
                  <c:v>9790105.9199999999</c:v>
                </c:pt>
                <c:pt idx="20">
                  <c:v>9790105.9199999999</c:v>
                </c:pt>
              </c:numCache>
            </c:numRef>
          </c:val>
          <c:extLst>
            <c:ext xmlns:c16="http://schemas.microsoft.com/office/drawing/2014/chart" uri="{C3380CC4-5D6E-409C-BE32-E72D297353CC}">
              <c16:uniqueId val="{0000000A-3603-4C70-81A6-0A59A41B2D30}"/>
            </c:ext>
          </c:extLst>
        </c:ser>
        <c:dLbls>
          <c:showLegendKey val="0"/>
          <c:showVal val="0"/>
          <c:showCatName val="0"/>
          <c:showSerName val="0"/>
          <c:showPercent val="0"/>
          <c:showBubbleSize val="0"/>
        </c:dLbls>
        <c:axId val="319082192"/>
        <c:axId val="319080880"/>
        <c:extLst>
          <c:ext xmlns:c15="http://schemas.microsoft.com/office/drawing/2012/chart" uri="{02D57815-91ED-43cb-92C2-25804820EDAC}">
            <c15:filteredAreaSeries>
              <c15:ser>
                <c:idx val="0"/>
                <c:order val="0"/>
                <c:tx>
                  <c:strRef>
                    <c:extLst>
                      <c:ext uri="{02D57815-91ED-43cb-92C2-25804820EDAC}">
                        <c15:formulaRef>
                          <c15:sqref>Graphs!$D$50</c15:sqref>
                        </c15:formulaRef>
                      </c:ext>
                    </c:extLst>
                    <c:strCache>
                      <c:ptCount val="1"/>
                      <c:pt idx="0">
                        <c:v>Source</c:v>
                      </c:pt>
                    </c:strCache>
                  </c:strRef>
                </c:tx>
                <c:spPr>
                  <a:solidFill>
                    <a:schemeClr val="accent1"/>
                  </a:solidFill>
                  <a:ln w="25400">
                    <a:noFill/>
                  </a:ln>
                  <a:effectLst/>
                </c:spPr>
                <c:cat>
                  <c:numRef>
                    <c:extLst>
                      <c:ext uri="{02D57815-91ED-43cb-92C2-25804820EDAC}">
                        <c15:formulaRef>
                          <c15:sqref>Graphs!$E$50:$Y$50</c15:sqref>
                        </c15:formulaRef>
                      </c:ext>
                    </c:extLst>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extLst>
                      <c:ext uri="{02D57815-91ED-43cb-92C2-25804820EDAC}">
                        <c15:formulaRef>
                          <c15:sqref>Graphs!$E$50:$Y$50</c15:sqref>
                        </c15:formulaRef>
                      </c:ext>
                    </c:extLst>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val>
                <c:extLst>
                  <c:ext xmlns:c16="http://schemas.microsoft.com/office/drawing/2014/chart" uri="{C3380CC4-5D6E-409C-BE32-E72D297353CC}">
                    <c16:uniqueId val="{00000000-3603-4C70-81A6-0A59A41B2D30}"/>
                  </c:ext>
                </c:extLst>
              </c15:ser>
            </c15:filteredAreaSeries>
          </c:ext>
        </c:extLst>
      </c:areaChart>
      <c:catAx>
        <c:axId val="3190821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319080880"/>
        <c:crosses val="autoZero"/>
        <c:auto val="1"/>
        <c:lblAlgn val="ctr"/>
        <c:lblOffset val="100"/>
        <c:noMultiLvlLbl val="0"/>
      </c:catAx>
      <c:valAx>
        <c:axId val="319080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crossAx val="31908219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a:t>100% renewable</a:t>
            </a:r>
            <a:r>
              <a:rPr lang="en-US" sz="1800" b="1" baseline="0"/>
              <a:t> energy</a:t>
            </a:r>
            <a:endParaRPr lang="en-US" sz="1800" b="1"/>
          </a:p>
          <a:p>
            <a:pPr>
              <a:defRPr sz="1400" b="0" i="0" u="none" strike="noStrike" kern="1200" spc="0" baseline="0">
                <a:solidFill>
                  <a:schemeClr val="tx1">
                    <a:lumMod val="65000"/>
                    <a:lumOff val="35000"/>
                  </a:schemeClr>
                </a:solidFill>
                <a:latin typeface="+mn-lt"/>
                <a:ea typeface="+mn-ea"/>
                <a:cs typeface="+mn-cs"/>
              </a:defRPr>
            </a:pPr>
            <a:r>
              <a:rPr lang="en-US" sz="1800" b="1"/>
              <a:t> Power generation by type of energy source </a:t>
            </a:r>
          </a:p>
          <a:p>
            <a:pPr>
              <a:defRPr sz="1400" b="0" i="0" u="none" strike="noStrike" kern="1200" spc="0" baseline="0">
                <a:solidFill>
                  <a:schemeClr val="tx1">
                    <a:lumMod val="65000"/>
                    <a:lumOff val="35000"/>
                  </a:schemeClr>
                </a:solidFill>
                <a:latin typeface="+mn-lt"/>
                <a:ea typeface="+mn-ea"/>
                <a:cs typeface="+mn-cs"/>
              </a:defRPr>
            </a:pPr>
            <a:r>
              <a:rPr lang="en-US" sz="1400" b="0"/>
              <a:t>[MWh]</a:t>
            </a:r>
            <a:endParaRPr lang="en-US" sz="1100" b="0"/>
          </a:p>
        </c:rich>
      </c:tx>
      <c:overlay val="0"/>
      <c:spPr>
        <a:noFill/>
        <a:ln>
          <a:noFill/>
        </a:ln>
        <a:effectLst/>
      </c:spPr>
    </c:title>
    <c:autoTitleDeleted val="0"/>
    <c:plotArea>
      <c:layout>
        <c:manualLayout>
          <c:layoutTarget val="inner"/>
          <c:xMode val="edge"/>
          <c:yMode val="edge"/>
          <c:x val="0.11207409172937451"/>
          <c:y val="0.17408826988482853"/>
          <c:w val="0.84620518233511521"/>
          <c:h val="0.64500024217949437"/>
        </c:manualLayout>
      </c:layout>
      <c:areaChart>
        <c:grouping val="stacked"/>
        <c:varyColors val="0"/>
        <c:ser>
          <c:idx val="1"/>
          <c:order val="0"/>
          <c:tx>
            <c:strRef>
              <c:f>Graphs!$D$94</c:f>
              <c:strCache>
                <c:ptCount val="1"/>
                <c:pt idx="0">
                  <c:v>Existing hydro</c:v>
                </c:pt>
              </c:strCache>
            </c:strRef>
          </c:tx>
          <c:spPr>
            <a:pattFill prst="ltDnDiag">
              <a:fgClr>
                <a:schemeClr val="accent1"/>
              </a:fgClr>
              <a:bgClr>
                <a:schemeClr val="bg1"/>
              </a:bgClr>
            </a:patt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Graphs!$E$94:$Y$94</c:f>
              <c:numCache>
                <c:formatCode>_(* #,##0_);_(* \(#,##0\);_(* "-"??_);_(@_)</c:formatCode>
                <c:ptCount val="21"/>
                <c:pt idx="0">
                  <c:v>2151428.9800358461</c:v>
                </c:pt>
                <c:pt idx="1">
                  <c:v>2324105.4636729998</c:v>
                </c:pt>
                <c:pt idx="2">
                  <c:v>2322084.4652733332</c:v>
                </c:pt>
                <c:pt idx="3">
                  <c:v>2514863.618699627</c:v>
                </c:pt>
                <c:pt idx="4">
                  <c:v>2232992.8565350003</c:v>
                </c:pt>
                <c:pt idx="5">
                  <c:v>2439591.1513262745</c:v>
                </c:pt>
                <c:pt idx="6">
                  <c:v>1715604.4612500004</c:v>
                </c:pt>
                <c:pt idx="7">
                  <c:v>2229863.9013999989</c:v>
                </c:pt>
                <c:pt idx="8">
                  <c:v>2651238.9793254239</c:v>
                </c:pt>
                <c:pt idx="9">
                  <c:v>2640951.1156587573</c:v>
                </c:pt>
                <c:pt idx="10">
                  <c:v>2640951.1156587573</c:v>
                </c:pt>
                <c:pt idx="11">
                  <c:v>2640951.1156587573</c:v>
                </c:pt>
                <c:pt idx="12">
                  <c:v>2640951.1156587573</c:v>
                </c:pt>
                <c:pt idx="13">
                  <c:v>2640951.1156587573</c:v>
                </c:pt>
                <c:pt idx="14">
                  <c:v>2640951.1156587573</c:v>
                </c:pt>
                <c:pt idx="15">
                  <c:v>2640951.1156587573</c:v>
                </c:pt>
                <c:pt idx="16">
                  <c:v>2640951.1156587573</c:v>
                </c:pt>
                <c:pt idx="17">
                  <c:v>2640951.1156587573</c:v>
                </c:pt>
                <c:pt idx="18">
                  <c:v>2640951.1156587573</c:v>
                </c:pt>
                <c:pt idx="19">
                  <c:v>2640951.1156587573</c:v>
                </c:pt>
                <c:pt idx="20">
                  <c:v>2640951.1156587573</c:v>
                </c:pt>
              </c:numCache>
            </c:numRef>
          </c:val>
          <c:extLst>
            <c:ext xmlns:c16="http://schemas.microsoft.com/office/drawing/2014/chart" uri="{C3380CC4-5D6E-409C-BE32-E72D297353CC}">
              <c16:uniqueId val="{00000010-0941-4EE2-A45A-FC99E2F1C342}"/>
            </c:ext>
          </c:extLst>
        </c:ser>
        <c:ser>
          <c:idx val="2"/>
          <c:order val="1"/>
          <c:tx>
            <c:strRef>
              <c:f>Graphs!$D$95</c:f>
              <c:strCache>
                <c:ptCount val="1"/>
                <c:pt idx="0">
                  <c:v>New hydro</c:v>
                </c:pt>
              </c:strCache>
            </c:strRef>
          </c:tx>
          <c:spPr>
            <a:solidFill>
              <a:schemeClr val="accent1"/>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Graphs!$E$95:$Y$95</c:f>
              <c:numCache>
                <c:formatCode>_(* #,##0_);_(* \(#,##0\);_(* "-"??_);_(@_)</c:formatCode>
                <c:ptCount val="21"/>
                <c:pt idx="0">
                  <c:v>0</c:v>
                </c:pt>
                <c:pt idx="1">
                  <c:v>0</c:v>
                </c:pt>
                <c:pt idx="2">
                  <c:v>0</c:v>
                </c:pt>
                <c:pt idx="3">
                  <c:v>0</c:v>
                </c:pt>
                <c:pt idx="4">
                  <c:v>0</c:v>
                </c:pt>
                <c:pt idx="5">
                  <c:v>0</c:v>
                </c:pt>
                <c:pt idx="6">
                  <c:v>0</c:v>
                </c:pt>
                <c:pt idx="7">
                  <c:v>0</c:v>
                </c:pt>
                <c:pt idx="8">
                  <c:v>240900</c:v>
                </c:pt>
                <c:pt idx="9">
                  <c:v>543120</c:v>
                </c:pt>
                <c:pt idx="10">
                  <c:v>2938542</c:v>
                </c:pt>
                <c:pt idx="11">
                  <c:v>5103138</c:v>
                </c:pt>
                <c:pt idx="12">
                  <c:v>5103138</c:v>
                </c:pt>
                <c:pt idx="13">
                  <c:v>5103138</c:v>
                </c:pt>
                <c:pt idx="14">
                  <c:v>5103138</c:v>
                </c:pt>
                <c:pt idx="15">
                  <c:v>11200098</c:v>
                </c:pt>
                <c:pt idx="16">
                  <c:v>11200098</c:v>
                </c:pt>
                <c:pt idx="17">
                  <c:v>11200098</c:v>
                </c:pt>
                <c:pt idx="18">
                  <c:v>11200098</c:v>
                </c:pt>
                <c:pt idx="19">
                  <c:v>33205611.600000001</c:v>
                </c:pt>
                <c:pt idx="20">
                  <c:v>40564011.600000001</c:v>
                </c:pt>
              </c:numCache>
            </c:numRef>
          </c:val>
          <c:extLst>
            <c:ext xmlns:c16="http://schemas.microsoft.com/office/drawing/2014/chart" uri="{C3380CC4-5D6E-409C-BE32-E72D297353CC}">
              <c16:uniqueId val="{00000012-0941-4EE2-A45A-FC99E2F1C342}"/>
            </c:ext>
          </c:extLst>
        </c:ser>
        <c:ser>
          <c:idx val="3"/>
          <c:order val="2"/>
          <c:tx>
            <c:strRef>
              <c:f>Graphs!$D$96</c:f>
              <c:strCache>
                <c:ptCount val="1"/>
                <c:pt idx="0">
                  <c:v>Existing wind</c:v>
                </c:pt>
              </c:strCache>
            </c:strRef>
          </c:tx>
          <c:spPr>
            <a:pattFill prst="ltDnDiag">
              <a:fgClr>
                <a:schemeClr val="accent2"/>
              </a:fgClr>
              <a:bgClr>
                <a:schemeClr val="bg1"/>
              </a:bgClr>
            </a:patt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Graphs!$E$96:$Y$96</c:f>
              <c:numCache>
                <c:formatCode>_(* #,##0_);_(* \(#,##0\);_(* "-"??_);_(@_)</c:formatCode>
                <c:ptCount val="21"/>
                <c:pt idx="0">
                  <c:v>0</c:v>
                </c:pt>
                <c:pt idx="1">
                  <c:v>0</c:v>
                </c:pt>
                <c:pt idx="2">
                  <c:v>0</c:v>
                </c:pt>
                <c:pt idx="3">
                  <c:v>36.528500000000001</c:v>
                </c:pt>
                <c:pt idx="4">
                  <c:v>8157.7569999999996</c:v>
                </c:pt>
                <c:pt idx="5">
                  <c:v>11450.126</c:v>
                </c:pt>
                <c:pt idx="6">
                  <c:v>34911.444000000003</c:v>
                </c:pt>
                <c:pt idx="7">
                  <c:v>60383.278999999995</c:v>
                </c:pt>
                <c:pt idx="8">
                  <c:v>86072.578999999998</c:v>
                </c:pt>
                <c:pt idx="9">
                  <c:v>86072.578999999998</c:v>
                </c:pt>
                <c:pt idx="10">
                  <c:v>86072.578999999998</c:v>
                </c:pt>
                <c:pt idx="11">
                  <c:v>86072.578999999998</c:v>
                </c:pt>
                <c:pt idx="12">
                  <c:v>86072.578999999998</c:v>
                </c:pt>
                <c:pt idx="13">
                  <c:v>86072.578999999998</c:v>
                </c:pt>
                <c:pt idx="14">
                  <c:v>86072.578999999998</c:v>
                </c:pt>
                <c:pt idx="15">
                  <c:v>86072.578999999998</c:v>
                </c:pt>
                <c:pt idx="16">
                  <c:v>86072.578999999998</c:v>
                </c:pt>
                <c:pt idx="17">
                  <c:v>86072.578999999998</c:v>
                </c:pt>
                <c:pt idx="18">
                  <c:v>86072.578999999998</c:v>
                </c:pt>
                <c:pt idx="19">
                  <c:v>86072.578999999998</c:v>
                </c:pt>
                <c:pt idx="20">
                  <c:v>86072.578999999998</c:v>
                </c:pt>
              </c:numCache>
            </c:numRef>
          </c:val>
          <c:extLst>
            <c:ext xmlns:c16="http://schemas.microsoft.com/office/drawing/2014/chart" uri="{C3380CC4-5D6E-409C-BE32-E72D297353CC}">
              <c16:uniqueId val="{00000014-0941-4EE2-A45A-FC99E2F1C342}"/>
            </c:ext>
          </c:extLst>
        </c:ser>
        <c:ser>
          <c:idx val="4"/>
          <c:order val="3"/>
          <c:tx>
            <c:strRef>
              <c:f>Graphs!$D$97</c:f>
              <c:strCache>
                <c:ptCount val="1"/>
                <c:pt idx="0">
                  <c:v>New wind</c:v>
                </c:pt>
              </c:strCache>
            </c:strRef>
          </c:tx>
          <c:spPr>
            <a:solidFill>
              <a:schemeClr val="accent2"/>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Graphs!$E$97:$Y$97</c:f>
              <c:numCache>
                <c:formatCode>_(* #,##0_);_(* \(#,##0\);_(* "-"??_);_(@_)</c:formatCode>
                <c:ptCount val="21"/>
                <c:pt idx="0">
                  <c:v>0</c:v>
                </c:pt>
                <c:pt idx="1">
                  <c:v>0</c:v>
                </c:pt>
                <c:pt idx="2">
                  <c:v>0</c:v>
                </c:pt>
                <c:pt idx="3">
                  <c:v>0</c:v>
                </c:pt>
                <c:pt idx="4">
                  <c:v>0</c:v>
                </c:pt>
                <c:pt idx="5">
                  <c:v>0</c:v>
                </c:pt>
                <c:pt idx="6">
                  <c:v>0</c:v>
                </c:pt>
                <c:pt idx="7">
                  <c:v>0</c:v>
                </c:pt>
                <c:pt idx="8">
                  <c:v>0</c:v>
                </c:pt>
                <c:pt idx="9">
                  <c:v>0</c:v>
                </c:pt>
                <c:pt idx="10">
                  <c:v>331128</c:v>
                </c:pt>
                <c:pt idx="11">
                  <c:v>469098</c:v>
                </c:pt>
                <c:pt idx="12">
                  <c:v>469098</c:v>
                </c:pt>
                <c:pt idx="13">
                  <c:v>469098</c:v>
                </c:pt>
                <c:pt idx="14">
                  <c:v>469098</c:v>
                </c:pt>
                <c:pt idx="15">
                  <c:v>469098</c:v>
                </c:pt>
                <c:pt idx="16">
                  <c:v>469098</c:v>
                </c:pt>
                <c:pt idx="17">
                  <c:v>469098</c:v>
                </c:pt>
                <c:pt idx="18">
                  <c:v>469098</c:v>
                </c:pt>
                <c:pt idx="19">
                  <c:v>469098</c:v>
                </c:pt>
                <c:pt idx="20">
                  <c:v>1315314</c:v>
                </c:pt>
              </c:numCache>
            </c:numRef>
          </c:val>
          <c:extLst>
            <c:ext xmlns:c16="http://schemas.microsoft.com/office/drawing/2014/chart" uri="{C3380CC4-5D6E-409C-BE32-E72D297353CC}">
              <c16:uniqueId val="{00000016-0941-4EE2-A45A-FC99E2F1C342}"/>
            </c:ext>
          </c:extLst>
        </c:ser>
        <c:ser>
          <c:idx val="5"/>
          <c:order val="4"/>
          <c:tx>
            <c:strRef>
              <c:f>Graphs!$D$98</c:f>
              <c:strCache>
                <c:ptCount val="1"/>
                <c:pt idx="0">
                  <c:v>New solar</c:v>
                </c:pt>
              </c:strCache>
            </c:strRef>
          </c:tx>
          <c:spPr>
            <a:solidFill>
              <a:schemeClr val="accent4"/>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Graphs!$E$98:$Y$98</c:f>
              <c:numCache>
                <c:formatCode>_(* #,##0_);_(* \(#,##0\);_(* "-"??_);_(@_)</c:formatCode>
                <c:ptCount val="21"/>
                <c:pt idx="0">
                  <c:v>0</c:v>
                </c:pt>
                <c:pt idx="1">
                  <c:v>0</c:v>
                </c:pt>
                <c:pt idx="2">
                  <c:v>0</c:v>
                </c:pt>
                <c:pt idx="3">
                  <c:v>0</c:v>
                </c:pt>
                <c:pt idx="4">
                  <c:v>0</c:v>
                </c:pt>
                <c:pt idx="5">
                  <c:v>0</c:v>
                </c:pt>
                <c:pt idx="6">
                  <c:v>0</c:v>
                </c:pt>
                <c:pt idx="7">
                  <c:v>0</c:v>
                </c:pt>
                <c:pt idx="8">
                  <c:v>136656</c:v>
                </c:pt>
                <c:pt idx="9">
                  <c:v>346896</c:v>
                </c:pt>
                <c:pt idx="10">
                  <c:v>357408</c:v>
                </c:pt>
                <c:pt idx="11">
                  <c:v>357408</c:v>
                </c:pt>
                <c:pt idx="12">
                  <c:v>357408</c:v>
                </c:pt>
                <c:pt idx="13">
                  <c:v>357408</c:v>
                </c:pt>
                <c:pt idx="14">
                  <c:v>357408</c:v>
                </c:pt>
                <c:pt idx="15">
                  <c:v>357408</c:v>
                </c:pt>
                <c:pt idx="16">
                  <c:v>357408</c:v>
                </c:pt>
                <c:pt idx="17">
                  <c:v>357408</c:v>
                </c:pt>
                <c:pt idx="18">
                  <c:v>357408</c:v>
                </c:pt>
                <c:pt idx="19">
                  <c:v>357408</c:v>
                </c:pt>
                <c:pt idx="20">
                  <c:v>777888</c:v>
                </c:pt>
              </c:numCache>
            </c:numRef>
          </c:val>
          <c:extLst>
            <c:ext xmlns:c16="http://schemas.microsoft.com/office/drawing/2014/chart" uri="{C3380CC4-5D6E-409C-BE32-E72D297353CC}">
              <c16:uniqueId val="{00000018-0941-4EE2-A45A-FC99E2F1C342}"/>
            </c:ext>
          </c:extLst>
        </c:ser>
        <c:ser>
          <c:idx val="6"/>
          <c:order val="5"/>
          <c:tx>
            <c:strRef>
              <c:f>Graphs!$D$99</c:f>
              <c:strCache>
                <c:ptCount val="1"/>
                <c:pt idx="0">
                  <c:v>Existing biomass</c:v>
                </c:pt>
              </c:strCache>
            </c:strRef>
          </c:tx>
          <c:spPr>
            <a:pattFill prst="ltDnDiag">
              <a:fgClr>
                <a:schemeClr val="accent6"/>
              </a:fgClr>
              <a:bgClr>
                <a:schemeClr val="bg1"/>
              </a:bgClr>
            </a:patt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Graphs!$E$99:$Y$99</c:f>
              <c:numCache>
                <c:formatCode>_(* #,##0_);_(* \(#,##0\);_(* "-"??_);_(@_)</c:formatCode>
                <c:ptCount val="21"/>
                <c:pt idx="0">
                  <c:v>58156.17</c:v>
                </c:pt>
                <c:pt idx="1">
                  <c:v>64040.52</c:v>
                </c:pt>
                <c:pt idx="2">
                  <c:v>64494.2</c:v>
                </c:pt>
                <c:pt idx="3">
                  <c:v>79491</c:v>
                </c:pt>
                <c:pt idx="4">
                  <c:v>76309.624999999985</c:v>
                </c:pt>
                <c:pt idx="5">
                  <c:v>79093.507500000007</c:v>
                </c:pt>
                <c:pt idx="6">
                  <c:v>61193.049750000006</c:v>
                </c:pt>
                <c:pt idx="7">
                  <c:v>44047.566999999995</c:v>
                </c:pt>
                <c:pt idx="8">
                  <c:v>61776.900333333338</c:v>
                </c:pt>
                <c:pt idx="9">
                  <c:v>61776.900333333338</c:v>
                </c:pt>
                <c:pt idx="10">
                  <c:v>61776.900333333338</c:v>
                </c:pt>
                <c:pt idx="11">
                  <c:v>61776.900333333338</c:v>
                </c:pt>
                <c:pt idx="12">
                  <c:v>61776.900333333338</c:v>
                </c:pt>
                <c:pt idx="13">
                  <c:v>61776.900333333338</c:v>
                </c:pt>
                <c:pt idx="14">
                  <c:v>61776.900333333338</c:v>
                </c:pt>
                <c:pt idx="15">
                  <c:v>61776.900333333338</c:v>
                </c:pt>
                <c:pt idx="16">
                  <c:v>61776.900333333338</c:v>
                </c:pt>
                <c:pt idx="17">
                  <c:v>61776.900333333338</c:v>
                </c:pt>
                <c:pt idx="18">
                  <c:v>61776.900333333338</c:v>
                </c:pt>
                <c:pt idx="19">
                  <c:v>61776.900333333338</c:v>
                </c:pt>
                <c:pt idx="20">
                  <c:v>61776.900333333338</c:v>
                </c:pt>
              </c:numCache>
            </c:numRef>
          </c:val>
          <c:extLst>
            <c:ext xmlns:c16="http://schemas.microsoft.com/office/drawing/2014/chart" uri="{C3380CC4-5D6E-409C-BE32-E72D297353CC}">
              <c16:uniqueId val="{0000001A-0941-4EE2-A45A-FC99E2F1C342}"/>
            </c:ext>
          </c:extLst>
        </c:ser>
        <c:ser>
          <c:idx val="7"/>
          <c:order val="6"/>
          <c:tx>
            <c:strRef>
              <c:f>Graphs!$D$100</c:f>
              <c:strCache>
                <c:ptCount val="1"/>
                <c:pt idx="0">
                  <c:v>New biomass</c:v>
                </c:pt>
              </c:strCache>
            </c:strRef>
          </c:tx>
          <c:spPr>
            <a:solidFill>
              <a:schemeClr val="accent6"/>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Graphs!$E$100:$Y$100</c:f>
              <c:numCache>
                <c:formatCode>_(* #,##0_);_(* \(#,##0\);_(* "-"??_);_(@_)</c:formatCode>
                <c:ptCount val="21"/>
              </c:numCache>
            </c:numRef>
          </c:val>
          <c:extLst>
            <c:ext xmlns:c16="http://schemas.microsoft.com/office/drawing/2014/chart" uri="{C3380CC4-5D6E-409C-BE32-E72D297353CC}">
              <c16:uniqueId val="{0000001C-0941-4EE2-A45A-FC99E2F1C342}"/>
            </c:ext>
          </c:extLst>
        </c:ser>
        <c:ser>
          <c:idx val="8"/>
          <c:order val="7"/>
          <c:tx>
            <c:strRef>
              <c:f>Graphs!$D$101</c:f>
              <c:strCache>
                <c:ptCount val="1"/>
                <c:pt idx="0">
                  <c:v>New geothermal</c:v>
                </c:pt>
              </c:strCache>
            </c:strRef>
          </c:tx>
          <c:spPr>
            <a:solidFill>
              <a:schemeClr val="accent3">
                <a:lumMod val="60000"/>
              </a:schemeClr>
            </a:solidFill>
            <a:ln w="25400">
              <a:noFill/>
            </a:ln>
            <a:effectLst>
              <a:outerShdw blurRad="50800" dist="50800" dir="5400000" algn="ctr" rotWithShape="0">
                <a:srgbClr val="C00000"/>
              </a:outerShdw>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Graphs!$E$101:$Y$101</c:f>
              <c:numCache>
                <c:formatCode>_(* #,##0_);_(* \(#,##0\);_(* "-"??_);_(@_)</c:formatCode>
                <c:ptCount val="21"/>
                <c:pt idx="0">
                  <c:v>0</c:v>
                </c:pt>
                <c:pt idx="1">
                  <c:v>0</c:v>
                </c:pt>
                <c:pt idx="2">
                  <c:v>0</c:v>
                </c:pt>
                <c:pt idx="3">
                  <c:v>0</c:v>
                </c:pt>
                <c:pt idx="4">
                  <c:v>0</c:v>
                </c:pt>
                <c:pt idx="5">
                  <c:v>0</c:v>
                </c:pt>
                <c:pt idx="6">
                  <c:v>0</c:v>
                </c:pt>
                <c:pt idx="7">
                  <c:v>0</c:v>
                </c:pt>
                <c:pt idx="8">
                  <c:v>0</c:v>
                </c:pt>
                <c:pt idx="9">
                  <c:v>0</c:v>
                </c:pt>
                <c:pt idx="10">
                  <c:v>37230</c:v>
                </c:pt>
                <c:pt idx="11">
                  <c:v>37230</c:v>
                </c:pt>
                <c:pt idx="12">
                  <c:v>37230</c:v>
                </c:pt>
                <c:pt idx="13">
                  <c:v>781830</c:v>
                </c:pt>
                <c:pt idx="14">
                  <c:v>781830</c:v>
                </c:pt>
                <c:pt idx="15">
                  <c:v>781830</c:v>
                </c:pt>
                <c:pt idx="16">
                  <c:v>781830</c:v>
                </c:pt>
                <c:pt idx="17">
                  <c:v>781830</c:v>
                </c:pt>
                <c:pt idx="18">
                  <c:v>781830</c:v>
                </c:pt>
                <c:pt idx="19">
                  <c:v>781830</c:v>
                </c:pt>
                <c:pt idx="20">
                  <c:v>781830</c:v>
                </c:pt>
              </c:numCache>
            </c:numRef>
          </c:val>
          <c:extLst>
            <c:ext xmlns:c16="http://schemas.microsoft.com/office/drawing/2014/chart" uri="{C3380CC4-5D6E-409C-BE32-E72D297353CC}">
              <c16:uniqueId val="{0000001E-0941-4EE2-A45A-FC99E2F1C342}"/>
            </c:ext>
          </c:extLst>
        </c:ser>
        <c:ser>
          <c:idx val="9"/>
          <c:order val="8"/>
          <c:tx>
            <c:strRef>
              <c:f>Graphs!$D$102</c:f>
              <c:strCache>
                <c:ptCount val="1"/>
                <c:pt idx="0">
                  <c:v>Existing natural gas</c:v>
                </c:pt>
              </c:strCache>
            </c:strRef>
          </c:tx>
          <c:spPr>
            <a:pattFill prst="ltDnDiag">
              <a:fgClr>
                <a:schemeClr val="bg2">
                  <a:lumMod val="50000"/>
                </a:schemeClr>
              </a:fgClr>
              <a:bgClr>
                <a:schemeClr val="bg1"/>
              </a:bgClr>
            </a:patt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Graphs!$E$102:$Y$102</c:f>
              <c:numCache>
                <c:formatCode>_(* #,##0_);_(* \(#,##0\);_(* "-"??_);_(@_)</c:formatCode>
                <c:ptCount val="21"/>
                <c:pt idx="0">
                  <c:v>3875855.7150321514</c:v>
                </c:pt>
                <c:pt idx="1">
                  <c:v>4204795.5495570004</c:v>
                </c:pt>
                <c:pt idx="2">
                  <c:v>4475347.2606733171</c:v>
                </c:pt>
                <c:pt idx="3">
                  <c:v>4692441.8888248773</c:v>
                </c:pt>
                <c:pt idx="4">
                  <c:v>5426028.4641763652</c:v>
                </c:pt>
                <c:pt idx="5">
                  <c:v>5718182.0382411722</c:v>
                </c:pt>
                <c:pt idx="6">
                  <c:v>6857813.3036782192</c:v>
                </c:pt>
                <c:pt idx="7">
                  <c:v>6556082.4895821987</c:v>
                </c:pt>
                <c:pt idx="8">
                  <c:v>6373210.9984091837</c:v>
                </c:pt>
                <c:pt idx="9">
                  <c:v>6538663.1966314064</c:v>
                </c:pt>
                <c:pt idx="10">
                  <c:v>5665884.7986711618</c:v>
                </c:pt>
                <c:pt idx="11">
                  <c:v>5616449.8879181677</c:v>
                </c:pt>
                <c:pt idx="12">
                  <c:v>5648877.553926399</c:v>
                </c:pt>
                <c:pt idx="13">
                  <c:v>5636963.7091966337</c:v>
                </c:pt>
                <c:pt idx="14">
                  <c:v>5634097.0503470665</c:v>
                </c:pt>
                <c:pt idx="15">
                  <c:v>3245992.0320150317</c:v>
                </c:pt>
                <c:pt idx="16">
                  <c:v>3243025.9933140208</c:v>
                </c:pt>
                <c:pt idx="17">
                  <c:v>3243042.5566225951</c:v>
                </c:pt>
                <c:pt idx="18">
                  <c:v>3244020.1939838827</c:v>
                </c:pt>
                <c:pt idx="19">
                  <c:v>0</c:v>
                </c:pt>
                <c:pt idx="20">
                  <c:v>0</c:v>
                </c:pt>
              </c:numCache>
            </c:numRef>
          </c:val>
          <c:extLst>
            <c:ext xmlns:c16="http://schemas.microsoft.com/office/drawing/2014/chart" uri="{C3380CC4-5D6E-409C-BE32-E72D297353CC}">
              <c16:uniqueId val="{00000020-0941-4EE2-A45A-FC99E2F1C342}"/>
            </c:ext>
          </c:extLst>
        </c:ser>
        <c:ser>
          <c:idx val="10"/>
          <c:order val="9"/>
          <c:tx>
            <c:strRef>
              <c:f>Graphs!$D$103</c:f>
              <c:strCache>
                <c:ptCount val="1"/>
                <c:pt idx="0">
                  <c:v>New natural gas</c:v>
                </c:pt>
              </c:strCache>
            </c:strRef>
          </c:tx>
          <c:spPr>
            <a:solidFill>
              <a:schemeClr val="bg2">
                <a:lumMod val="50000"/>
              </a:schemeClr>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Graphs!$E$103:$Y$103</c:f>
              <c:numCache>
                <c:formatCode>_(* #,##0_);_(* \(#,##0\);_(* "-"??_);_(@_)</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22-0941-4EE2-A45A-FC99E2F1C342}"/>
            </c:ext>
          </c:extLst>
        </c:ser>
        <c:dLbls>
          <c:showLegendKey val="0"/>
          <c:showVal val="0"/>
          <c:showCatName val="0"/>
          <c:showSerName val="0"/>
          <c:showPercent val="0"/>
          <c:showBubbleSize val="0"/>
        </c:dLbls>
        <c:axId val="319082192"/>
        <c:axId val="319080880"/>
        <c:extLst/>
      </c:areaChart>
      <c:catAx>
        <c:axId val="3190821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319080880"/>
        <c:crosses val="autoZero"/>
        <c:auto val="1"/>
        <c:lblAlgn val="ctr"/>
        <c:lblOffset val="100"/>
        <c:noMultiLvlLbl val="0"/>
      </c:catAx>
      <c:valAx>
        <c:axId val="319080880"/>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s-MX"/>
          </a:p>
        </c:txPr>
        <c:crossAx val="319082192"/>
        <c:crosses val="autoZero"/>
        <c:crossBetween val="midCat"/>
      </c:valAx>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legend>
    <c:plotVisOnly val="1"/>
    <c:dispBlanksAs val="zero"/>
    <c:showDLblsOverMax val="0"/>
  </c:chart>
  <c:txPr>
    <a:bodyPr/>
    <a:lstStyle/>
    <a:p>
      <a:pPr>
        <a:defRPr/>
      </a:pPr>
      <a:endParaRPr lang="es-MX"/>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100% renewable energy</a:t>
            </a:r>
          </a:p>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Fraction of power generation by type of energy source </a:t>
            </a:r>
          </a:p>
          <a:p>
            <a:pPr>
              <a:defRPr sz="1400" b="0" i="0" u="none" strike="noStrike" kern="1200" spc="0" baseline="0">
                <a:solidFill>
                  <a:schemeClr val="tx1">
                    <a:lumMod val="65000"/>
                    <a:lumOff val="35000"/>
                  </a:schemeClr>
                </a:solidFill>
                <a:latin typeface="+mn-lt"/>
                <a:ea typeface="+mn-ea"/>
                <a:cs typeface="+mn-cs"/>
              </a:defRPr>
            </a:pPr>
            <a:r>
              <a:rPr lang="en-US" sz="1400" b="0" i="0" baseline="0">
                <a:effectLst/>
              </a:rPr>
              <a:t>[%]</a:t>
            </a:r>
            <a:endParaRPr lang="en-US" sz="1100" b="0"/>
          </a:p>
        </c:rich>
      </c:tx>
      <c:overlay val="0"/>
      <c:spPr>
        <a:noFill/>
        <a:ln>
          <a:noFill/>
        </a:ln>
        <a:effectLst/>
      </c:spPr>
    </c:title>
    <c:autoTitleDeleted val="0"/>
    <c:plotArea>
      <c:layout/>
      <c:areaChart>
        <c:grouping val="percentStacked"/>
        <c:varyColors val="0"/>
        <c:ser>
          <c:idx val="1"/>
          <c:order val="0"/>
          <c:tx>
            <c:strRef>
              <c:f>Graphs!$D$93</c:f>
              <c:strCache>
                <c:ptCount val="1"/>
                <c:pt idx="0">
                  <c:v>Source</c:v>
                </c:pt>
              </c:strCache>
            </c:strRef>
          </c:tx>
          <c:spPr>
            <a:pattFill prst="ltDnDiag">
              <a:fgClr>
                <a:schemeClr val="accent1"/>
              </a:fgClr>
              <a:bgClr>
                <a:schemeClr val="bg1"/>
              </a:bgClr>
            </a:patt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val>
          <c:extLst>
            <c:ext xmlns:c16="http://schemas.microsoft.com/office/drawing/2014/chart" uri="{C3380CC4-5D6E-409C-BE32-E72D297353CC}">
              <c16:uniqueId val="{0000000C-BE18-41A4-9F5C-F585945C21BE}"/>
            </c:ext>
          </c:extLst>
        </c:ser>
        <c:ser>
          <c:idx val="2"/>
          <c:order val="1"/>
          <c:tx>
            <c:strRef>
              <c:f>Graphs!$D$94</c:f>
              <c:strCache>
                <c:ptCount val="1"/>
                <c:pt idx="0">
                  <c:v>Existing hydro</c:v>
                </c:pt>
              </c:strCache>
            </c:strRef>
          </c:tx>
          <c:spPr>
            <a:solidFill>
              <a:schemeClr val="accent1"/>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Graphs!$E$94:$Y$94</c:f>
              <c:numCache>
                <c:formatCode>_(* #,##0_);_(* \(#,##0\);_(* "-"??_);_(@_)</c:formatCode>
                <c:ptCount val="21"/>
                <c:pt idx="0">
                  <c:v>2151428.9800358461</c:v>
                </c:pt>
                <c:pt idx="1">
                  <c:v>2324105.4636729998</c:v>
                </c:pt>
                <c:pt idx="2">
                  <c:v>2322084.4652733332</c:v>
                </c:pt>
                <c:pt idx="3">
                  <c:v>2514863.618699627</c:v>
                </c:pt>
                <c:pt idx="4">
                  <c:v>2232992.8565350003</c:v>
                </c:pt>
                <c:pt idx="5">
                  <c:v>2439591.1513262745</c:v>
                </c:pt>
                <c:pt idx="6">
                  <c:v>1715604.4612500004</c:v>
                </c:pt>
                <c:pt idx="7">
                  <c:v>2229863.9013999989</c:v>
                </c:pt>
                <c:pt idx="8">
                  <c:v>2651238.9793254239</c:v>
                </c:pt>
                <c:pt idx="9">
                  <c:v>2640951.1156587573</c:v>
                </c:pt>
                <c:pt idx="10">
                  <c:v>2640951.1156587573</c:v>
                </c:pt>
                <c:pt idx="11">
                  <c:v>2640951.1156587573</c:v>
                </c:pt>
                <c:pt idx="12">
                  <c:v>2640951.1156587573</c:v>
                </c:pt>
                <c:pt idx="13">
                  <c:v>2640951.1156587573</c:v>
                </c:pt>
                <c:pt idx="14">
                  <c:v>2640951.1156587573</c:v>
                </c:pt>
                <c:pt idx="15">
                  <c:v>2640951.1156587573</c:v>
                </c:pt>
                <c:pt idx="16">
                  <c:v>2640951.1156587573</c:v>
                </c:pt>
                <c:pt idx="17">
                  <c:v>2640951.1156587573</c:v>
                </c:pt>
                <c:pt idx="18">
                  <c:v>2640951.1156587573</c:v>
                </c:pt>
                <c:pt idx="19">
                  <c:v>2640951.1156587573</c:v>
                </c:pt>
                <c:pt idx="20">
                  <c:v>2640951.1156587573</c:v>
                </c:pt>
              </c:numCache>
            </c:numRef>
          </c:val>
          <c:extLst>
            <c:ext xmlns:c16="http://schemas.microsoft.com/office/drawing/2014/chart" uri="{C3380CC4-5D6E-409C-BE32-E72D297353CC}">
              <c16:uniqueId val="{0000000E-BE18-41A4-9F5C-F585945C21BE}"/>
            </c:ext>
          </c:extLst>
        </c:ser>
        <c:ser>
          <c:idx val="3"/>
          <c:order val="2"/>
          <c:tx>
            <c:strRef>
              <c:f>Graphs!$D$95</c:f>
              <c:strCache>
                <c:ptCount val="1"/>
                <c:pt idx="0">
                  <c:v>New hydro</c:v>
                </c:pt>
              </c:strCache>
            </c:strRef>
          </c:tx>
          <c:spPr>
            <a:pattFill prst="ltDnDiag">
              <a:fgClr>
                <a:schemeClr val="accent2"/>
              </a:fgClr>
              <a:bgClr>
                <a:schemeClr val="bg1"/>
              </a:bgClr>
            </a:patt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Graphs!$E$95:$Y$95</c:f>
              <c:numCache>
                <c:formatCode>_(* #,##0_);_(* \(#,##0\);_(* "-"??_);_(@_)</c:formatCode>
                <c:ptCount val="21"/>
                <c:pt idx="0">
                  <c:v>0</c:v>
                </c:pt>
                <c:pt idx="1">
                  <c:v>0</c:v>
                </c:pt>
                <c:pt idx="2">
                  <c:v>0</c:v>
                </c:pt>
                <c:pt idx="3">
                  <c:v>0</c:v>
                </c:pt>
                <c:pt idx="4">
                  <c:v>0</c:v>
                </c:pt>
                <c:pt idx="5">
                  <c:v>0</c:v>
                </c:pt>
                <c:pt idx="6">
                  <c:v>0</c:v>
                </c:pt>
                <c:pt idx="7">
                  <c:v>0</c:v>
                </c:pt>
                <c:pt idx="8">
                  <c:v>240900</c:v>
                </c:pt>
                <c:pt idx="9">
                  <c:v>543120</c:v>
                </c:pt>
                <c:pt idx="10">
                  <c:v>2938542</c:v>
                </c:pt>
                <c:pt idx="11">
                  <c:v>5103138</c:v>
                </c:pt>
                <c:pt idx="12">
                  <c:v>5103138</c:v>
                </c:pt>
                <c:pt idx="13">
                  <c:v>5103138</c:v>
                </c:pt>
                <c:pt idx="14">
                  <c:v>5103138</c:v>
                </c:pt>
                <c:pt idx="15">
                  <c:v>11200098</c:v>
                </c:pt>
                <c:pt idx="16">
                  <c:v>11200098</c:v>
                </c:pt>
                <c:pt idx="17">
                  <c:v>11200098</c:v>
                </c:pt>
                <c:pt idx="18">
                  <c:v>11200098</c:v>
                </c:pt>
                <c:pt idx="19">
                  <c:v>33205611.600000001</c:v>
                </c:pt>
                <c:pt idx="20">
                  <c:v>40564011.600000001</c:v>
                </c:pt>
              </c:numCache>
            </c:numRef>
          </c:val>
          <c:extLst>
            <c:ext xmlns:c16="http://schemas.microsoft.com/office/drawing/2014/chart" uri="{C3380CC4-5D6E-409C-BE32-E72D297353CC}">
              <c16:uniqueId val="{00000010-BE18-41A4-9F5C-F585945C21BE}"/>
            </c:ext>
          </c:extLst>
        </c:ser>
        <c:ser>
          <c:idx val="4"/>
          <c:order val="3"/>
          <c:tx>
            <c:strRef>
              <c:f>Graphs!$D$96</c:f>
              <c:strCache>
                <c:ptCount val="1"/>
                <c:pt idx="0">
                  <c:v>Existing wind</c:v>
                </c:pt>
              </c:strCache>
            </c:strRef>
          </c:tx>
          <c:spPr>
            <a:solidFill>
              <a:schemeClr val="accent2"/>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Graphs!$E$96:$Y$96</c:f>
              <c:numCache>
                <c:formatCode>_(* #,##0_);_(* \(#,##0\);_(* "-"??_);_(@_)</c:formatCode>
                <c:ptCount val="21"/>
                <c:pt idx="0">
                  <c:v>0</c:v>
                </c:pt>
                <c:pt idx="1">
                  <c:v>0</c:v>
                </c:pt>
                <c:pt idx="2">
                  <c:v>0</c:v>
                </c:pt>
                <c:pt idx="3">
                  <c:v>36.528500000000001</c:v>
                </c:pt>
                <c:pt idx="4">
                  <c:v>8157.7569999999996</c:v>
                </c:pt>
                <c:pt idx="5">
                  <c:v>11450.126</c:v>
                </c:pt>
                <c:pt idx="6">
                  <c:v>34911.444000000003</c:v>
                </c:pt>
                <c:pt idx="7">
                  <c:v>60383.278999999995</c:v>
                </c:pt>
                <c:pt idx="8">
                  <c:v>86072.578999999998</c:v>
                </c:pt>
                <c:pt idx="9">
                  <c:v>86072.578999999998</c:v>
                </c:pt>
                <c:pt idx="10">
                  <c:v>86072.578999999998</c:v>
                </c:pt>
                <c:pt idx="11">
                  <c:v>86072.578999999998</c:v>
                </c:pt>
                <c:pt idx="12">
                  <c:v>86072.578999999998</c:v>
                </c:pt>
                <c:pt idx="13">
                  <c:v>86072.578999999998</c:v>
                </c:pt>
                <c:pt idx="14">
                  <c:v>86072.578999999998</c:v>
                </c:pt>
                <c:pt idx="15">
                  <c:v>86072.578999999998</c:v>
                </c:pt>
                <c:pt idx="16">
                  <c:v>86072.578999999998</c:v>
                </c:pt>
                <c:pt idx="17">
                  <c:v>86072.578999999998</c:v>
                </c:pt>
                <c:pt idx="18">
                  <c:v>86072.578999999998</c:v>
                </c:pt>
                <c:pt idx="19">
                  <c:v>86072.578999999998</c:v>
                </c:pt>
                <c:pt idx="20">
                  <c:v>86072.578999999998</c:v>
                </c:pt>
              </c:numCache>
            </c:numRef>
          </c:val>
          <c:extLst>
            <c:ext xmlns:c16="http://schemas.microsoft.com/office/drawing/2014/chart" uri="{C3380CC4-5D6E-409C-BE32-E72D297353CC}">
              <c16:uniqueId val="{00000012-BE18-41A4-9F5C-F585945C21BE}"/>
            </c:ext>
          </c:extLst>
        </c:ser>
        <c:ser>
          <c:idx val="5"/>
          <c:order val="4"/>
          <c:tx>
            <c:strRef>
              <c:f>Graphs!$D$97</c:f>
              <c:strCache>
                <c:ptCount val="1"/>
                <c:pt idx="0">
                  <c:v>New wind</c:v>
                </c:pt>
              </c:strCache>
            </c:strRef>
          </c:tx>
          <c:spPr>
            <a:solidFill>
              <a:schemeClr val="accent3"/>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Graphs!$E$97:$Y$97</c:f>
              <c:numCache>
                <c:formatCode>_(* #,##0_);_(* \(#,##0\);_(* "-"??_);_(@_)</c:formatCode>
                <c:ptCount val="21"/>
                <c:pt idx="0">
                  <c:v>0</c:v>
                </c:pt>
                <c:pt idx="1">
                  <c:v>0</c:v>
                </c:pt>
                <c:pt idx="2">
                  <c:v>0</c:v>
                </c:pt>
                <c:pt idx="3">
                  <c:v>0</c:v>
                </c:pt>
                <c:pt idx="4">
                  <c:v>0</c:v>
                </c:pt>
                <c:pt idx="5">
                  <c:v>0</c:v>
                </c:pt>
                <c:pt idx="6">
                  <c:v>0</c:v>
                </c:pt>
                <c:pt idx="7">
                  <c:v>0</c:v>
                </c:pt>
                <c:pt idx="8">
                  <c:v>0</c:v>
                </c:pt>
                <c:pt idx="9">
                  <c:v>0</c:v>
                </c:pt>
                <c:pt idx="10">
                  <c:v>331128</c:v>
                </c:pt>
                <c:pt idx="11">
                  <c:v>469098</c:v>
                </c:pt>
                <c:pt idx="12">
                  <c:v>469098</c:v>
                </c:pt>
                <c:pt idx="13">
                  <c:v>469098</c:v>
                </c:pt>
                <c:pt idx="14">
                  <c:v>469098</c:v>
                </c:pt>
                <c:pt idx="15">
                  <c:v>469098</c:v>
                </c:pt>
                <c:pt idx="16">
                  <c:v>469098</c:v>
                </c:pt>
                <c:pt idx="17">
                  <c:v>469098</c:v>
                </c:pt>
                <c:pt idx="18">
                  <c:v>469098</c:v>
                </c:pt>
                <c:pt idx="19">
                  <c:v>469098</c:v>
                </c:pt>
                <c:pt idx="20">
                  <c:v>1315314</c:v>
                </c:pt>
              </c:numCache>
            </c:numRef>
          </c:val>
          <c:extLst>
            <c:ext xmlns:c16="http://schemas.microsoft.com/office/drawing/2014/chart" uri="{C3380CC4-5D6E-409C-BE32-E72D297353CC}">
              <c16:uniqueId val="{00000014-BE18-41A4-9F5C-F585945C21BE}"/>
            </c:ext>
          </c:extLst>
        </c:ser>
        <c:ser>
          <c:idx val="6"/>
          <c:order val="5"/>
          <c:tx>
            <c:strRef>
              <c:f>Graphs!$D$98</c:f>
              <c:strCache>
                <c:ptCount val="1"/>
                <c:pt idx="0">
                  <c:v>New solar</c:v>
                </c:pt>
              </c:strCache>
            </c:strRef>
          </c:tx>
          <c:spPr>
            <a:pattFill prst="ltDnDiag">
              <a:fgClr>
                <a:schemeClr val="accent6"/>
              </a:fgClr>
              <a:bgClr>
                <a:schemeClr val="bg1"/>
              </a:bgClr>
            </a:patt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Graphs!$E$98:$Y$98</c:f>
              <c:numCache>
                <c:formatCode>_(* #,##0_);_(* \(#,##0\);_(* "-"??_);_(@_)</c:formatCode>
                <c:ptCount val="21"/>
                <c:pt idx="0">
                  <c:v>0</c:v>
                </c:pt>
                <c:pt idx="1">
                  <c:v>0</c:v>
                </c:pt>
                <c:pt idx="2">
                  <c:v>0</c:v>
                </c:pt>
                <c:pt idx="3">
                  <c:v>0</c:v>
                </c:pt>
                <c:pt idx="4">
                  <c:v>0</c:v>
                </c:pt>
                <c:pt idx="5">
                  <c:v>0</c:v>
                </c:pt>
                <c:pt idx="6">
                  <c:v>0</c:v>
                </c:pt>
                <c:pt idx="7">
                  <c:v>0</c:v>
                </c:pt>
                <c:pt idx="8">
                  <c:v>136656</c:v>
                </c:pt>
                <c:pt idx="9">
                  <c:v>346896</c:v>
                </c:pt>
                <c:pt idx="10">
                  <c:v>357408</c:v>
                </c:pt>
                <c:pt idx="11">
                  <c:v>357408</c:v>
                </c:pt>
                <c:pt idx="12">
                  <c:v>357408</c:v>
                </c:pt>
                <c:pt idx="13">
                  <c:v>357408</c:v>
                </c:pt>
                <c:pt idx="14">
                  <c:v>357408</c:v>
                </c:pt>
                <c:pt idx="15">
                  <c:v>357408</c:v>
                </c:pt>
                <c:pt idx="16">
                  <c:v>357408</c:v>
                </c:pt>
                <c:pt idx="17">
                  <c:v>357408</c:v>
                </c:pt>
                <c:pt idx="18">
                  <c:v>357408</c:v>
                </c:pt>
                <c:pt idx="19">
                  <c:v>357408</c:v>
                </c:pt>
                <c:pt idx="20">
                  <c:v>777888</c:v>
                </c:pt>
              </c:numCache>
            </c:numRef>
          </c:val>
          <c:extLst>
            <c:ext xmlns:c16="http://schemas.microsoft.com/office/drawing/2014/chart" uri="{C3380CC4-5D6E-409C-BE32-E72D297353CC}">
              <c16:uniqueId val="{00000016-BE18-41A4-9F5C-F585945C21BE}"/>
            </c:ext>
          </c:extLst>
        </c:ser>
        <c:ser>
          <c:idx val="7"/>
          <c:order val="6"/>
          <c:tx>
            <c:strRef>
              <c:f>Graphs!$D$99</c:f>
              <c:strCache>
                <c:ptCount val="1"/>
                <c:pt idx="0">
                  <c:v>Existing biomass</c:v>
                </c:pt>
              </c:strCache>
            </c:strRef>
          </c:tx>
          <c:spPr>
            <a:solidFill>
              <a:schemeClr val="accent6"/>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Graphs!$E$99:$Y$99</c:f>
              <c:numCache>
                <c:formatCode>_(* #,##0_);_(* \(#,##0\);_(* "-"??_);_(@_)</c:formatCode>
                <c:ptCount val="21"/>
                <c:pt idx="0">
                  <c:v>58156.17</c:v>
                </c:pt>
                <c:pt idx="1">
                  <c:v>64040.52</c:v>
                </c:pt>
                <c:pt idx="2">
                  <c:v>64494.2</c:v>
                </c:pt>
                <c:pt idx="3">
                  <c:v>79491</c:v>
                </c:pt>
                <c:pt idx="4">
                  <c:v>76309.624999999985</c:v>
                </c:pt>
                <c:pt idx="5">
                  <c:v>79093.507500000007</c:v>
                </c:pt>
                <c:pt idx="6">
                  <c:v>61193.049750000006</c:v>
                </c:pt>
                <c:pt idx="7">
                  <c:v>44047.566999999995</c:v>
                </c:pt>
                <c:pt idx="8">
                  <c:v>61776.900333333338</c:v>
                </c:pt>
                <c:pt idx="9">
                  <c:v>61776.900333333338</c:v>
                </c:pt>
                <c:pt idx="10">
                  <c:v>61776.900333333338</c:v>
                </c:pt>
                <c:pt idx="11">
                  <c:v>61776.900333333338</c:v>
                </c:pt>
                <c:pt idx="12">
                  <c:v>61776.900333333338</c:v>
                </c:pt>
                <c:pt idx="13">
                  <c:v>61776.900333333338</c:v>
                </c:pt>
                <c:pt idx="14">
                  <c:v>61776.900333333338</c:v>
                </c:pt>
                <c:pt idx="15">
                  <c:v>61776.900333333338</c:v>
                </c:pt>
                <c:pt idx="16">
                  <c:v>61776.900333333338</c:v>
                </c:pt>
                <c:pt idx="17">
                  <c:v>61776.900333333338</c:v>
                </c:pt>
                <c:pt idx="18">
                  <c:v>61776.900333333338</c:v>
                </c:pt>
                <c:pt idx="19">
                  <c:v>61776.900333333338</c:v>
                </c:pt>
                <c:pt idx="20">
                  <c:v>61776.900333333338</c:v>
                </c:pt>
              </c:numCache>
            </c:numRef>
          </c:val>
          <c:extLst>
            <c:ext xmlns:c16="http://schemas.microsoft.com/office/drawing/2014/chart" uri="{C3380CC4-5D6E-409C-BE32-E72D297353CC}">
              <c16:uniqueId val="{00000018-BE18-41A4-9F5C-F585945C21BE}"/>
            </c:ext>
          </c:extLst>
        </c:ser>
        <c:ser>
          <c:idx val="8"/>
          <c:order val="7"/>
          <c:tx>
            <c:strRef>
              <c:f>Graphs!$D$100</c:f>
              <c:strCache>
                <c:ptCount val="1"/>
                <c:pt idx="0">
                  <c:v>New biomass</c:v>
                </c:pt>
              </c:strCache>
            </c:strRef>
          </c:tx>
          <c:spPr>
            <a:solidFill>
              <a:srgbClr val="C00000"/>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Graphs!$E$100:$Y$100</c:f>
              <c:numCache>
                <c:formatCode>_(* #,##0_);_(* \(#,##0\);_(* "-"??_);_(@_)</c:formatCode>
                <c:ptCount val="21"/>
              </c:numCache>
            </c:numRef>
          </c:val>
          <c:extLst>
            <c:ext xmlns:c16="http://schemas.microsoft.com/office/drawing/2014/chart" uri="{C3380CC4-5D6E-409C-BE32-E72D297353CC}">
              <c16:uniqueId val="{0000001A-BE18-41A4-9F5C-F585945C21BE}"/>
            </c:ext>
          </c:extLst>
        </c:ser>
        <c:ser>
          <c:idx val="9"/>
          <c:order val="8"/>
          <c:tx>
            <c:strRef>
              <c:f>Graphs!$D$101</c:f>
              <c:strCache>
                <c:ptCount val="1"/>
                <c:pt idx="0">
                  <c:v>New geothermal</c:v>
                </c:pt>
              </c:strCache>
            </c:strRef>
          </c:tx>
          <c:spPr>
            <a:pattFill prst="ltDnDiag">
              <a:fgClr>
                <a:schemeClr val="bg2">
                  <a:lumMod val="50000"/>
                </a:schemeClr>
              </a:fgClr>
              <a:bgClr>
                <a:schemeClr val="bg1"/>
              </a:bgClr>
            </a:patt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Graphs!$E$101:$Y$101</c:f>
              <c:numCache>
                <c:formatCode>_(* #,##0_);_(* \(#,##0\);_(* "-"??_);_(@_)</c:formatCode>
                <c:ptCount val="21"/>
                <c:pt idx="0">
                  <c:v>0</c:v>
                </c:pt>
                <c:pt idx="1">
                  <c:v>0</c:v>
                </c:pt>
                <c:pt idx="2">
                  <c:v>0</c:v>
                </c:pt>
                <c:pt idx="3">
                  <c:v>0</c:v>
                </c:pt>
                <c:pt idx="4">
                  <c:v>0</c:v>
                </c:pt>
                <c:pt idx="5">
                  <c:v>0</c:v>
                </c:pt>
                <c:pt idx="6">
                  <c:v>0</c:v>
                </c:pt>
                <c:pt idx="7">
                  <c:v>0</c:v>
                </c:pt>
                <c:pt idx="8">
                  <c:v>0</c:v>
                </c:pt>
                <c:pt idx="9">
                  <c:v>0</c:v>
                </c:pt>
                <c:pt idx="10">
                  <c:v>37230</c:v>
                </c:pt>
                <c:pt idx="11">
                  <c:v>37230</c:v>
                </c:pt>
                <c:pt idx="12">
                  <c:v>37230</c:v>
                </c:pt>
                <c:pt idx="13">
                  <c:v>781830</c:v>
                </c:pt>
                <c:pt idx="14">
                  <c:v>781830</c:v>
                </c:pt>
                <c:pt idx="15">
                  <c:v>781830</c:v>
                </c:pt>
                <c:pt idx="16">
                  <c:v>781830</c:v>
                </c:pt>
                <c:pt idx="17">
                  <c:v>781830</c:v>
                </c:pt>
                <c:pt idx="18">
                  <c:v>781830</c:v>
                </c:pt>
                <c:pt idx="19">
                  <c:v>781830</c:v>
                </c:pt>
                <c:pt idx="20">
                  <c:v>781830</c:v>
                </c:pt>
              </c:numCache>
            </c:numRef>
          </c:val>
          <c:extLst>
            <c:ext xmlns:c16="http://schemas.microsoft.com/office/drawing/2014/chart" uri="{C3380CC4-5D6E-409C-BE32-E72D297353CC}">
              <c16:uniqueId val="{0000001C-BE18-41A4-9F5C-F585945C21BE}"/>
            </c:ext>
          </c:extLst>
        </c:ser>
        <c:ser>
          <c:idx val="10"/>
          <c:order val="9"/>
          <c:tx>
            <c:strRef>
              <c:f>Graphs!$D$102</c:f>
              <c:strCache>
                <c:ptCount val="1"/>
                <c:pt idx="0">
                  <c:v>Existing natural gas</c:v>
                </c:pt>
              </c:strCache>
            </c:strRef>
          </c:tx>
          <c:spPr>
            <a:solidFill>
              <a:schemeClr val="bg2">
                <a:lumMod val="50000"/>
              </a:schemeClr>
            </a:solidFill>
            <a:ln w="25400">
              <a:noFill/>
            </a:ln>
            <a:effectLst/>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Graphs!$E$102:$Y$102</c:f>
              <c:numCache>
                <c:formatCode>_(* #,##0_);_(* \(#,##0\);_(* "-"??_);_(@_)</c:formatCode>
                <c:ptCount val="21"/>
                <c:pt idx="0">
                  <c:v>3875855.7150321514</c:v>
                </c:pt>
                <c:pt idx="1">
                  <c:v>4204795.5495570004</c:v>
                </c:pt>
                <c:pt idx="2">
                  <c:v>4475347.2606733171</c:v>
                </c:pt>
                <c:pt idx="3">
                  <c:v>4692441.8888248773</c:v>
                </c:pt>
                <c:pt idx="4">
                  <c:v>5426028.4641763652</c:v>
                </c:pt>
                <c:pt idx="5">
                  <c:v>5718182.0382411722</c:v>
                </c:pt>
                <c:pt idx="6">
                  <c:v>6857813.3036782192</c:v>
                </c:pt>
                <c:pt idx="7">
                  <c:v>6556082.4895821987</c:v>
                </c:pt>
                <c:pt idx="8">
                  <c:v>6373210.9984091837</c:v>
                </c:pt>
                <c:pt idx="9">
                  <c:v>6538663.1966314064</c:v>
                </c:pt>
                <c:pt idx="10">
                  <c:v>5665884.7986711618</c:v>
                </c:pt>
                <c:pt idx="11">
                  <c:v>5616449.8879181677</c:v>
                </c:pt>
                <c:pt idx="12">
                  <c:v>5648877.553926399</c:v>
                </c:pt>
                <c:pt idx="13">
                  <c:v>5636963.7091966337</c:v>
                </c:pt>
                <c:pt idx="14">
                  <c:v>5634097.0503470665</c:v>
                </c:pt>
                <c:pt idx="15">
                  <c:v>3245992.0320150317</c:v>
                </c:pt>
                <c:pt idx="16">
                  <c:v>3243025.9933140208</c:v>
                </c:pt>
                <c:pt idx="17">
                  <c:v>3243042.5566225951</c:v>
                </c:pt>
                <c:pt idx="18">
                  <c:v>3244020.1939838827</c:v>
                </c:pt>
                <c:pt idx="19">
                  <c:v>0</c:v>
                </c:pt>
                <c:pt idx="20">
                  <c:v>0</c:v>
                </c:pt>
              </c:numCache>
            </c:numRef>
          </c:val>
          <c:extLst>
            <c:ext xmlns:c16="http://schemas.microsoft.com/office/drawing/2014/chart" uri="{C3380CC4-5D6E-409C-BE32-E72D297353CC}">
              <c16:uniqueId val="{0000001E-BE18-41A4-9F5C-F585945C21BE}"/>
            </c:ext>
          </c:extLst>
        </c:ser>
        <c:ser>
          <c:idx val="0"/>
          <c:order val="10"/>
          <c:tx>
            <c:strRef>
              <c:f>Graphs!$D$103</c:f>
              <c:strCache>
                <c:ptCount val="1"/>
                <c:pt idx="0">
                  <c:v>New natural gas</c:v>
                </c:pt>
              </c:strCache>
            </c:strRef>
          </c:tx>
          <c:spPr>
            <a:ln w="25400">
              <a:noFill/>
            </a:ln>
          </c:spPr>
          <c:cat>
            <c:numRef>
              <c:f>Graphs!$E$93:$Y$93</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cat>
          <c:val>
            <c:numRef>
              <c:f>Graphs!$E$103:$Y$103</c:f>
              <c:numCache>
                <c:formatCode>_(* #,##0_);_(* \(#,##0\);_(* "-"??_);_(@_)</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21-BE18-41A4-9F5C-F585945C21BE}"/>
            </c:ext>
          </c:extLst>
        </c:ser>
        <c:dLbls>
          <c:showLegendKey val="0"/>
          <c:showVal val="0"/>
          <c:showCatName val="0"/>
          <c:showSerName val="0"/>
          <c:showPercent val="0"/>
          <c:showBubbleSize val="0"/>
        </c:dLbls>
        <c:axId val="319082192"/>
        <c:axId val="319080880"/>
        <c:extLst/>
      </c:areaChart>
      <c:catAx>
        <c:axId val="3190821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319080880"/>
        <c:crosses val="autoZero"/>
        <c:auto val="1"/>
        <c:lblAlgn val="ctr"/>
        <c:lblOffset val="100"/>
        <c:noMultiLvlLbl val="0"/>
      </c:catAx>
      <c:valAx>
        <c:axId val="319080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crossAx val="319082192"/>
        <c:crosses val="autoZero"/>
        <c:crossBetween val="midCat"/>
      </c:valAx>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legend>
    <c:plotVisOnly val="1"/>
    <c:dispBlanksAs val="zero"/>
    <c:showDLblsOverMax val="0"/>
  </c:chart>
  <c:txPr>
    <a:bodyPr/>
    <a:lstStyle/>
    <a:p>
      <a:pPr>
        <a:defRPr/>
      </a:pPr>
      <a:endParaRPr lang="es-MX"/>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hyperlink" Target="#Start!A1"/></Relationships>
</file>

<file path=xl/drawings/_rels/drawing11.xml.rels><?xml version="1.0" encoding="UTF-8" standalone="yes"?>
<Relationships xmlns="http://schemas.openxmlformats.org/package/2006/relationships"><Relationship Id="rId1" Type="http://schemas.openxmlformats.org/officeDocument/2006/relationships/hyperlink" Target="#Start!A1"/></Relationships>
</file>

<file path=xl/drawings/_rels/drawing12.xml.rels><?xml version="1.0" encoding="UTF-8" standalone="yes"?>
<Relationships xmlns="http://schemas.openxmlformats.org/package/2006/relationships"><Relationship Id="rId1" Type="http://schemas.openxmlformats.org/officeDocument/2006/relationships/hyperlink" Target="#Start!A1"/></Relationships>
</file>

<file path=xl/drawings/_rels/drawing13.xml.rels><?xml version="1.0" encoding="UTF-8" standalone="yes"?>
<Relationships xmlns="http://schemas.openxmlformats.org/package/2006/relationships"><Relationship Id="rId1" Type="http://schemas.openxmlformats.org/officeDocument/2006/relationships/hyperlink" Target="#Start!A1"/></Relationships>
</file>

<file path=xl/drawings/_rels/drawing14.xml.rels><?xml version="1.0" encoding="UTF-8" standalone="yes"?>
<Relationships xmlns="http://schemas.openxmlformats.org/package/2006/relationships"><Relationship Id="rId1" Type="http://schemas.openxmlformats.org/officeDocument/2006/relationships/hyperlink" Target="#Start!A1"/></Relationships>
</file>

<file path=xl/drawings/_rels/drawing15.xml.rels><?xml version="1.0" encoding="UTF-8" standalone="yes"?>
<Relationships xmlns="http://schemas.openxmlformats.org/package/2006/relationships"><Relationship Id="rId1" Type="http://schemas.openxmlformats.org/officeDocument/2006/relationships/hyperlink" Target="#Start!A1"/></Relationships>
</file>

<file path=xl/drawings/_rels/drawing16.xml.rels><?xml version="1.0" encoding="UTF-8" standalone="yes"?>
<Relationships xmlns="http://schemas.openxmlformats.org/package/2006/relationships"><Relationship Id="rId1" Type="http://schemas.openxmlformats.org/officeDocument/2006/relationships/hyperlink" Target="#Start!A1"/></Relationships>
</file>

<file path=xl/drawings/_rels/drawing17.xml.rels><?xml version="1.0" encoding="UTF-8" standalone="yes"?>
<Relationships xmlns="http://schemas.openxmlformats.org/package/2006/relationships"><Relationship Id="rId1" Type="http://schemas.openxmlformats.org/officeDocument/2006/relationships/hyperlink" Target="#Start!A1"/></Relationships>
</file>

<file path=xl/drawings/_rels/drawing18.xml.rels><?xml version="1.0" encoding="UTF-8" standalone="yes"?>
<Relationships xmlns="http://schemas.openxmlformats.org/package/2006/relationships"><Relationship Id="rId1" Type="http://schemas.openxmlformats.org/officeDocument/2006/relationships/hyperlink" Target="#Start!A1"/></Relationships>
</file>

<file path=xl/drawings/_rels/drawing19.xml.rels><?xml version="1.0" encoding="UTF-8" standalone="yes"?>
<Relationships xmlns="http://schemas.openxmlformats.org/package/2006/relationships"><Relationship Id="rId1" Type="http://schemas.openxmlformats.org/officeDocument/2006/relationships/hyperlink" Target="#Start!A1"/></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Start!A1"/></Relationships>
</file>

<file path=xl/drawings/_rels/drawing20.xml.rels><?xml version="1.0" encoding="UTF-8" standalone="yes"?>
<Relationships xmlns="http://schemas.openxmlformats.org/package/2006/relationships"><Relationship Id="rId1" Type="http://schemas.openxmlformats.org/officeDocument/2006/relationships/hyperlink" Target="#Start!A1"/></Relationships>
</file>

<file path=xl/drawings/_rels/drawing21.xml.rels><?xml version="1.0" encoding="UTF-8" standalone="yes"?>
<Relationships xmlns="http://schemas.openxmlformats.org/package/2006/relationships"><Relationship Id="rId1" Type="http://schemas.openxmlformats.org/officeDocument/2006/relationships/hyperlink" Target="#Start!A1"/></Relationships>
</file>

<file path=xl/drawings/_rels/drawing22.xml.rels><?xml version="1.0" encoding="UTF-8" standalone="yes"?>
<Relationships xmlns="http://schemas.openxmlformats.org/package/2006/relationships"><Relationship Id="rId3" Type="http://schemas.openxmlformats.org/officeDocument/2006/relationships/hyperlink" Target="#Start!A1"/><Relationship Id="rId7" Type="http://schemas.openxmlformats.org/officeDocument/2006/relationships/chart" Target="../charts/chart8.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23.xml.rels><?xml version="1.0" encoding="UTF-8" standalone="yes"?>
<Relationships xmlns="http://schemas.openxmlformats.org/package/2006/relationships"><Relationship Id="rId1" Type="http://schemas.openxmlformats.org/officeDocument/2006/relationships/hyperlink" Target="#Start!A1"/></Relationships>
</file>

<file path=xl/drawings/_rels/drawing24.xml.rels><?xml version="1.0" encoding="UTF-8" standalone="yes"?>
<Relationships xmlns="http://schemas.openxmlformats.org/package/2006/relationships"><Relationship Id="rId1" Type="http://schemas.openxmlformats.org/officeDocument/2006/relationships/hyperlink" Target="#Start!A1"/></Relationships>
</file>

<file path=xl/drawings/_rels/drawing25.xml.rels><?xml version="1.0" encoding="UTF-8" standalone="yes"?>
<Relationships xmlns="http://schemas.openxmlformats.org/package/2006/relationships"><Relationship Id="rId1" Type="http://schemas.openxmlformats.org/officeDocument/2006/relationships/hyperlink" Target="#Start!A1"/></Relationships>
</file>

<file path=xl/drawings/_rels/drawing3.xml.rels><?xml version="1.0" encoding="UTF-8" standalone="yes"?>
<Relationships xmlns="http://schemas.openxmlformats.org/package/2006/relationships"><Relationship Id="rId1" Type="http://schemas.openxmlformats.org/officeDocument/2006/relationships/hyperlink" Target="#Start!A1"/></Relationships>
</file>

<file path=xl/drawings/_rels/drawing4.xml.rels><?xml version="1.0" encoding="UTF-8" standalone="yes"?>
<Relationships xmlns="http://schemas.openxmlformats.org/package/2006/relationships"><Relationship Id="rId1" Type="http://schemas.openxmlformats.org/officeDocument/2006/relationships/hyperlink" Target="#Start!A1"/></Relationships>
</file>

<file path=xl/drawings/_rels/drawing5.xml.rels><?xml version="1.0" encoding="UTF-8" standalone="yes"?>
<Relationships xmlns="http://schemas.openxmlformats.org/package/2006/relationships"><Relationship Id="rId1" Type="http://schemas.openxmlformats.org/officeDocument/2006/relationships/hyperlink" Target="#Start!A1"/></Relationships>
</file>

<file path=xl/drawings/_rels/drawing6.xml.rels><?xml version="1.0" encoding="UTF-8" standalone="yes"?>
<Relationships xmlns="http://schemas.openxmlformats.org/package/2006/relationships"><Relationship Id="rId1" Type="http://schemas.openxmlformats.org/officeDocument/2006/relationships/hyperlink" Target="#Start!A1"/></Relationships>
</file>

<file path=xl/drawings/_rels/drawing7.xml.rels><?xml version="1.0" encoding="UTF-8" standalone="yes"?>
<Relationships xmlns="http://schemas.openxmlformats.org/package/2006/relationships"><Relationship Id="rId1" Type="http://schemas.openxmlformats.org/officeDocument/2006/relationships/hyperlink" Target="#Start!A1"/></Relationships>
</file>

<file path=xl/drawings/_rels/drawing8.xml.rels><?xml version="1.0" encoding="UTF-8" standalone="yes"?>
<Relationships xmlns="http://schemas.openxmlformats.org/package/2006/relationships"><Relationship Id="rId1" Type="http://schemas.openxmlformats.org/officeDocument/2006/relationships/hyperlink" Target="#Start!A1"/></Relationships>
</file>

<file path=xl/drawings/_rels/drawing9.xml.rels><?xml version="1.0" encoding="UTF-8" standalone="yes"?>
<Relationships xmlns="http://schemas.openxmlformats.org/package/2006/relationships"><Relationship Id="rId1" Type="http://schemas.openxmlformats.org/officeDocument/2006/relationships/hyperlink" Target="#Start!A1"/></Relationships>
</file>

<file path=xl/drawings/drawing1.xml><?xml version="1.0" encoding="utf-8"?>
<xdr:wsDr xmlns:xdr="http://schemas.openxmlformats.org/drawingml/2006/spreadsheetDrawing" xmlns:a="http://schemas.openxmlformats.org/drawingml/2006/main">
  <xdr:twoCellAnchor>
    <xdr:from>
      <xdr:col>0</xdr:col>
      <xdr:colOff>153602</xdr:colOff>
      <xdr:row>0</xdr:row>
      <xdr:rowOff>9525</xdr:rowOff>
    </xdr:from>
    <xdr:to>
      <xdr:col>0</xdr:col>
      <xdr:colOff>485775</xdr:colOff>
      <xdr:row>3</xdr:row>
      <xdr:rowOff>0</xdr:rowOff>
    </xdr:to>
    <xdr:grpSp>
      <xdr:nvGrpSpPr>
        <xdr:cNvPr id="2" name="Group 1">
          <a:extLst>
            <a:ext uri="{FF2B5EF4-FFF2-40B4-BE49-F238E27FC236}">
              <a16:creationId xmlns:a16="http://schemas.microsoft.com/office/drawing/2014/main" id="{7078F5A3-C331-4F51-8C34-379D9F5A955C}"/>
            </a:ext>
          </a:extLst>
        </xdr:cNvPr>
        <xdr:cNvGrpSpPr/>
      </xdr:nvGrpSpPr>
      <xdr:grpSpPr>
        <a:xfrm>
          <a:off x="153602" y="9525"/>
          <a:ext cx="332173" cy="584835"/>
          <a:chOff x="87566" y="0"/>
          <a:chExt cx="523348" cy="877799"/>
        </a:xfrm>
        <a:solidFill>
          <a:srgbClr val="FF0000"/>
        </a:solidFill>
      </xdr:grpSpPr>
      <xdr:grpSp>
        <xdr:nvGrpSpPr>
          <xdr:cNvPr id="3" name="Group 2">
            <a:extLst>
              <a:ext uri="{FF2B5EF4-FFF2-40B4-BE49-F238E27FC236}">
                <a16:creationId xmlns:a16="http://schemas.microsoft.com/office/drawing/2014/main" id="{58B35B1C-795B-4DCE-AEBD-9B7AB0E60870}"/>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B092B2F2-F79E-4B2D-A4DB-95DA94B1E38D}"/>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D3DD671D-2996-4416-8310-A2B4C2B6D0A6}"/>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0F479461-0AA5-4828-A0A4-DBC7B263600F}"/>
              </a:ext>
            </a:extLst>
          </xdr:cNvPr>
          <xdr:cNvSpPr txBox="1"/>
        </xdr:nvSpPr>
        <xdr:spPr>
          <a:xfrm>
            <a:off x="88667" y="0"/>
            <a:ext cx="446178" cy="599681"/>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S</a:t>
            </a:r>
          </a:p>
        </xdr:txBody>
      </xdr:sp>
    </xdr:grpSp>
    <xdr:clientData/>
  </xdr:twoCellAnchor>
  <xdr:twoCellAnchor>
    <xdr:from>
      <xdr:col>0</xdr:col>
      <xdr:colOff>350523</xdr:colOff>
      <xdr:row>22</xdr:row>
      <xdr:rowOff>182875</xdr:rowOff>
    </xdr:from>
    <xdr:to>
      <xdr:col>2</xdr:col>
      <xdr:colOff>1303020</xdr:colOff>
      <xdr:row>27</xdr:row>
      <xdr:rowOff>144780</xdr:rowOff>
    </xdr:to>
    <xdr:grpSp>
      <xdr:nvGrpSpPr>
        <xdr:cNvPr id="19" name="Group 18">
          <a:extLst>
            <a:ext uri="{FF2B5EF4-FFF2-40B4-BE49-F238E27FC236}">
              <a16:creationId xmlns:a16="http://schemas.microsoft.com/office/drawing/2014/main" id="{447C2EE5-9E87-4A07-B17E-86336B548A5C}"/>
            </a:ext>
          </a:extLst>
        </xdr:cNvPr>
        <xdr:cNvGrpSpPr/>
      </xdr:nvGrpSpPr>
      <xdr:grpSpPr>
        <a:xfrm>
          <a:off x="350523" y="5341615"/>
          <a:ext cx="2171697" cy="876305"/>
          <a:chOff x="5325043" y="3985866"/>
          <a:chExt cx="2235735" cy="858591"/>
        </a:xfrm>
      </xdr:grpSpPr>
      <xdr:sp macro="" textlink="">
        <xdr:nvSpPr>
          <xdr:cNvPr id="13" name="TextBox 12">
            <a:extLst>
              <a:ext uri="{FF2B5EF4-FFF2-40B4-BE49-F238E27FC236}">
                <a16:creationId xmlns:a16="http://schemas.microsoft.com/office/drawing/2014/main" id="{0BF83F67-F48C-477E-A526-577C10A1F8FF}"/>
              </a:ext>
            </a:extLst>
          </xdr:cNvPr>
          <xdr:cNvSpPr txBox="1"/>
        </xdr:nvSpPr>
        <xdr:spPr>
          <a:xfrm>
            <a:off x="5325043" y="3985866"/>
            <a:ext cx="2235735" cy="8585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Tip. You can navigate back to the start page clicking on the colored page marker at the top</a:t>
            </a:r>
          </a:p>
          <a:p>
            <a:r>
              <a:rPr lang="en-US" sz="1100" i="1"/>
              <a:t> left of each worksheet: </a:t>
            </a:r>
          </a:p>
        </xdr:txBody>
      </xdr:sp>
      <xdr:grpSp>
        <xdr:nvGrpSpPr>
          <xdr:cNvPr id="14" name="Group 13">
            <a:extLst>
              <a:ext uri="{FF2B5EF4-FFF2-40B4-BE49-F238E27FC236}">
                <a16:creationId xmlns:a16="http://schemas.microsoft.com/office/drawing/2014/main" id="{99F16961-789D-454A-BAEC-DB6E8100441C}"/>
              </a:ext>
            </a:extLst>
          </xdr:cNvPr>
          <xdr:cNvGrpSpPr/>
        </xdr:nvGrpSpPr>
        <xdr:grpSpPr>
          <a:xfrm>
            <a:off x="7011827" y="4421281"/>
            <a:ext cx="204313" cy="332453"/>
            <a:chOff x="1227351" y="1259515"/>
            <a:chExt cx="543011" cy="823606"/>
          </a:xfrm>
          <a:solidFill>
            <a:schemeClr val="bg2">
              <a:lumMod val="90000"/>
            </a:schemeClr>
          </a:solidFill>
        </xdr:grpSpPr>
        <xdr:sp macro="" textlink="">
          <xdr:nvSpPr>
            <xdr:cNvPr id="17" name="Flowchart: Delay 16">
              <a:extLst>
                <a:ext uri="{FF2B5EF4-FFF2-40B4-BE49-F238E27FC236}">
                  <a16:creationId xmlns:a16="http://schemas.microsoft.com/office/drawing/2014/main" id="{3EF6C0B8-92BD-45F5-91FD-C047C7028100}"/>
                </a:ext>
              </a:extLst>
            </xdr:cNvPr>
            <xdr:cNvSpPr/>
          </xdr:nvSpPr>
          <xdr:spPr>
            <a:xfrm rot="5400000">
              <a:off x="1251195" y="1584558"/>
              <a:ext cx="474719" cy="522408"/>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6" name="TextBox 15">
              <a:extLst>
                <a:ext uri="{FF2B5EF4-FFF2-40B4-BE49-F238E27FC236}">
                  <a16:creationId xmlns:a16="http://schemas.microsoft.com/office/drawing/2014/main" id="{6D199DB2-0F42-44D2-B5F2-B46A10550A09}"/>
                </a:ext>
              </a:extLst>
            </xdr:cNvPr>
            <xdr:cNvSpPr txBox="1"/>
          </xdr:nvSpPr>
          <xdr:spPr>
            <a:xfrm>
              <a:off x="1247413" y="1259515"/>
              <a:ext cx="522949" cy="43733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2800" b="1">
                <a:solidFill>
                  <a:schemeClr val="bg1"/>
                </a:solidFill>
              </a:endParaRPr>
            </a:p>
          </xdr:txBody>
        </xdr:sp>
      </xdr:grp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72258</xdr:colOff>
      <xdr:row>0</xdr:row>
      <xdr:rowOff>0</xdr:rowOff>
    </xdr:from>
    <xdr:to>
      <xdr:col>0</xdr:col>
      <xdr:colOff>568510</xdr:colOff>
      <xdr:row>4</xdr:row>
      <xdr:rowOff>152638</xdr:rowOff>
    </xdr:to>
    <xdr:grpSp>
      <xdr:nvGrpSpPr>
        <xdr:cNvPr id="2" name="Group 1">
          <a:hlinkClick xmlns:r="http://schemas.openxmlformats.org/officeDocument/2006/relationships" r:id="rId1"/>
          <a:extLst>
            <a:ext uri="{FF2B5EF4-FFF2-40B4-BE49-F238E27FC236}">
              <a16:creationId xmlns:a16="http://schemas.microsoft.com/office/drawing/2014/main" id="{9BB0DFD8-D3D8-4F0A-9BA8-E9C551DC758D}"/>
            </a:ext>
          </a:extLst>
        </xdr:cNvPr>
        <xdr:cNvGrpSpPr/>
      </xdr:nvGrpSpPr>
      <xdr:grpSpPr>
        <a:xfrm>
          <a:off x="72258" y="0"/>
          <a:ext cx="496252" cy="998458"/>
          <a:chOff x="85661" y="0"/>
          <a:chExt cx="525253" cy="879704"/>
        </a:xfrm>
        <a:solidFill>
          <a:schemeClr val="accent4">
            <a:lumMod val="60000"/>
            <a:lumOff val="40000"/>
          </a:schemeClr>
        </a:solidFill>
      </xdr:grpSpPr>
      <xdr:grpSp>
        <xdr:nvGrpSpPr>
          <xdr:cNvPr id="3" name="Group 2">
            <a:extLst>
              <a:ext uri="{FF2B5EF4-FFF2-40B4-BE49-F238E27FC236}">
                <a16:creationId xmlns:a16="http://schemas.microsoft.com/office/drawing/2014/main" id="{DAF5AE2E-6575-4AA4-869E-6519C263A948}"/>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BAC2992A-B731-45FF-B3C2-45D8A5D6639A}"/>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3916B81B-5EBA-4943-9CF7-DFDC57652D29}"/>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D00E74E6-CD31-4420-A5BC-067DDE650A71}"/>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91965</xdr:colOff>
      <xdr:row>0</xdr:row>
      <xdr:rowOff>0</xdr:rowOff>
    </xdr:from>
    <xdr:to>
      <xdr:col>0</xdr:col>
      <xdr:colOff>588217</xdr:colOff>
      <xdr:row>4</xdr:row>
      <xdr:rowOff>152638</xdr:rowOff>
    </xdr:to>
    <xdr:grpSp>
      <xdr:nvGrpSpPr>
        <xdr:cNvPr id="2" name="Group 1">
          <a:hlinkClick xmlns:r="http://schemas.openxmlformats.org/officeDocument/2006/relationships" r:id="rId1"/>
          <a:extLst>
            <a:ext uri="{FF2B5EF4-FFF2-40B4-BE49-F238E27FC236}">
              <a16:creationId xmlns:a16="http://schemas.microsoft.com/office/drawing/2014/main" id="{43A10599-73F3-4C27-8EA5-B4BEE2BBCBC0}"/>
            </a:ext>
          </a:extLst>
        </xdr:cNvPr>
        <xdr:cNvGrpSpPr/>
      </xdr:nvGrpSpPr>
      <xdr:grpSpPr>
        <a:xfrm>
          <a:off x="91965" y="0"/>
          <a:ext cx="496252" cy="998458"/>
          <a:chOff x="85661" y="0"/>
          <a:chExt cx="525253" cy="879704"/>
        </a:xfrm>
        <a:solidFill>
          <a:schemeClr val="accent4">
            <a:lumMod val="60000"/>
            <a:lumOff val="40000"/>
          </a:schemeClr>
        </a:solidFill>
      </xdr:grpSpPr>
      <xdr:grpSp>
        <xdr:nvGrpSpPr>
          <xdr:cNvPr id="3" name="Group 2">
            <a:extLst>
              <a:ext uri="{FF2B5EF4-FFF2-40B4-BE49-F238E27FC236}">
                <a16:creationId xmlns:a16="http://schemas.microsoft.com/office/drawing/2014/main" id="{48CD16A0-6A48-4079-9D60-933F1B141EDC}"/>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9D9464F9-907F-468D-BA3D-96ED01508452}"/>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2FA4BCEF-1A7D-4723-8B44-F6533D0CC9F1}"/>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BD45179C-3C45-4D8A-9547-A3C23C17C77B}"/>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302173</xdr:colOff>
      <xdr:row>4</xdr:row>
      <xdr:rowOff>177363</xdr:rowOff>
    </xdr:from>
    <xdr:to>
      <xdr:col>6</xdr:col>
      <xdr:colOff>396043</xdr:colOff>
      <xdr:row>10</xdr:row>
      <xdr:rowOff>47888</xdr:rowOff>
    </xdr:to>
    <xdr:sp macro="" textlink="">
      <xdr:nvSpPr>
        <xdr:cNvPr id="2" name="TextBox 1">
          <a:extLst>
            <a:ext uri="{FF2B5EF4-FFF2-40B4-BE49-F238E27FC236}">
              <a16:creationId xmlns:a16="http://schemas.microsoft.com/office/drawing/2014/main" id="{ACCF7BFE-55AC-4E25-9DE9-C38A40673663}"/>
            </a:ext>
          </a:extLst>
        </xdr:cNvPr>
        <xdr:cNvSpPr txBox="1"/>
      </xdr:nvSpPr>
      <xdr:spPr>
        <a:xfrm>
          <a:off x="3987363" y="913087"/>
          <a:ext cx="3089318" cy="9741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t>Note: The calculation</a:t>
          </a:r>
          <a:r>
            <a:rPr lang="en-US" sz="900" baseline="0"/>
            <a:t> of unit emissions factors for 2008 is different from other years since no statistical report was published for this year and no heat rates are available. Unit emissions factors for 2008 are calculated as averages of unit emissions factors for 2007 and 2009. Calculations are recorded in the sheet Unit_EF_2008.</a:t>
          </a:r>
          <a:endParaRPr lang="en-US" sz="900"/>
        </a:p>
      </xdr:txBody>
    </xdr:sp>
    <xdr:clientData/>
  </xdr:twoCellAnchor>
  <xdr:twoCellAnchor>
    <xdr:from>
      <xdr:col>0</xdr:col>
      <xdr:colOff>97050</xdr:colOff>
      <xdr:row>0</xdr:row>
      <xdr:rowOff>0</xdr:rowOff>
    </xdr:from>
    <xdr:to>
      <xdr:col>0</xdr:col>
      <xdr:colOff>591502</xdr:colOff>
      <xdr:row>4</xdr:row>
      <xdr:rowOff>160390</xdr:rowOff>
    </xdr:to>
    <xdr:grpSp>
      <xdr:nvGrpSpPr>
        <xdr:cNvPr id="3" name="Group 2">
          <a:hlinkClick xmlns:r="http://schemas.openxmlformats.org/officeDocument/2006/relationships" r:id="rId1"/>
          <a:extLst>
            <a:ext uri="{FF2B5EF4-FFF2-40B4-BE49-F238E27FC236}">
              <a16:creationId xmlns:a16="http://schemas.microsoft.com/office/drawing/2014/main" id="{BB4DC2F7-FC9C-4FC2-9349-ED23680DD562}"/>
            </a:ext>
          </a:extLst>
        </xdr:cNvPr>
        <xdr:cNvGrpSpPr/>
      </xdr:nvGrpSpPr>
      <xdr:grpSpPr>
        <a:xfrm>
          <a:off x="97050" y="0"/>
          <a:ext cx="494452" cy="1006210"/>
          <a:chOff x="87566" y="0"/>
          <a:chExt cx="523348" cy="877799"/>
        </a:xfrm>
        <a:solidFill>
          <a:schemeClr val="accent4">
            <a:lumMod val="60000"/>
            <a:lumOff val="40000"/>
          </a:schemeClr>
        </a:solidFill>
      </xdr:grpSpPr>
      <xdr:grpSp>
        <xdr:nvGrpSpPr>
          <xdr:cNvPr id="4" name="Group 3">
            <a:extLst>
              <a:ext uri="{FF2B5EF4-FFF2-40B4-BE49-F238E27FC236}">
                <a16:creationId xmlns:a16="http://schemas.microsoft.com/office/drawing/2014/main" id="{3556B1EE-886F-4A0A-9590-8AA0FD7B041E}"/>
              </a:ext>
            </a:extLst>
          </xdr:cNvPr>
          <xdr:cNvGrpSpPr/>
        </xdr:nvGrpSpPr>
        <xdr:grpSpPr>
          <a:xfrm>
            <a:off x="87566" y="0"/>
            <a:ext cx="523348" cy="877799"/>
            <a:chOff x="7657771" y="3572926"/>
            <a:chExt cx="1025745" cy="1994995"/>
          </a:xfrm>
          <a:grpFill/>
        </xdr:grpSpPr>
        <xdr:sp macro="" textlink="">
          <xdr:nvSpPr>
            <xdr:cNvPr id="6" name="Flowchart: Delay 5">
              <a:extLst>
                <a:ext uri="{FF2B5EF4-FFF2-40B4-BE49-F238E27FC236}">
                  <a16:creationId xmlns:a16="http://schemas.microsoft.com/office/drawing/2014/main" id="{CAA0F56A-DF43-4C34-9046-B90D8D94823C}"/>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 name="Rectangle 6">
              <a:extLst>
                <a:ext uri="{FF2B5EF4-FFF2-40B4-BE49-F238E27FC236}">
                  <a16:creationId xmlns:a16="http://schemas.microsoft.com/office/drawing/2014/main" id="{5E281464-14D8-4285-98C8-CB3DF7B45E1F}"/>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5" name="TextBox 4">
            <a:extLst>
              <a:ext uri="{FF2B5EF4-FFF2-40B4-BE49-F238E27FC236}">
                <a16:creationId xmlns:a16="http://schemas.microsoft.com/office/drawing/2014/main" id="{A9FEFFE6-EC91-4203-AD10-7AB8C5D395B7}"/>
              </a:ext>
            </a:extLst>
          </xdr:cNvPr>
          <xdr:cNvSpPr txBox="1"/>
        </xdr:nvSpPr>
        <xdr:spPr>
          <a:xfrm>
            <a:off x="142056" y="155440"/>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436521</xdr:colOff>
      <xdr:row>15</xdr:row>
      <xdr:rowOff>7702</xdr:rowOff>
    </xdr:from>
    <xdr:to>
      <xdr:col>4</xdr:col>
      <xdr:colOff>648059</xdr:colOff>
      <xdr:row>20</xdr:row>
      <xdr:rowOff>1325</xdr:rowOff>
    </xdr:to>
    <xdr:sp macro="" textlink="">
      <xdr:nvSpPr>
        <xdr:cNvPr id="2" name="Right Brace 1">
          <a:extLst>
            <a:ext uri="{FF2B5EF4-FFF2-40B4-BE49-F238E27FC236}">
              <a16:creationId xmlns:a16="http://schemas.microsoft.com/office/drawing/2014/main" id="{273E7702-848C-444E-8DA1-25E655CBA768}"/>
            </a:ext>
          </a:extLst>
        </xdr:cNvPr>
        <xdr:cNvSpPr/>
      </xdr:nvSpPr>
      <xdr:spPr>
        <a:xfrm rot="10800000">
          <a:off x="3103521" y="2912827"/>
          <a:ext cx="211538" cy="898498"/>
        </a:xfrm>
        <a:prstGeom prst="rightBrace">
          <a:avLst>
            <a:gd name="adj1" fmla="val 85256"/>
            <a:gd name="adj2" fmla="val 49130"/>
          </a:avLst>
        </a:prstGeom>
        <a:ln>
          <a:solidFill>
            <a:schemeClr val="accent2"/>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227109</xdr:colOff>
      <xdr:row>16</xdr:row>
      <xdr:rowOff>94381</xdr:rowOff>
    </xdr:from>
    <xdr:to>
      <xdr:col>4</xdr:col>
      <xdr:colOff>495076</xdr:colOff>
      <xdr:row>17</xdr:row>
      <xdr:rowOff>170250</xdr:rowOff>
    </xdr:to>
    <xdr:sp macro="" textlink="">
      <xdr:nvSpPr>
        <xdr:cNvPr id="3" name="TextBox 2">
          <a:extLst>
            <a:ext uri="{FF2B5EF4-FFF2-40B4-BE49-F238E27FC236}">
              <a16:creationId xmlns:a16="http://schemas.microsoft.com/office/drawing/2014/main" id="{9DABED09-6C56-4B48-B0E8-32E70AD1B913}"/>
            </a:ext>
          </a:extLst>
        </xdr:cNvPr>
        <xdr:cNvSpPr txBox="1"/>
      </xdr:nvSpPr>
      <xdr:spPr>
        <a:xfrm>
          <a:off x="2227359" y="3180481"/>
          <a:ext cx="934717" cy="2568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accent2"/>
              </a:solidFill>
            </a:rPr>
            <a:t>AEG</a:t>
          </a:r>
          <a:r>
            <a:rPr lang="en-US" sz="1000" baseline="-25000">
              <a:solidFill>
                <a:schemeClr val="accent2"/>
              </a:solidFill>
            </a:rPr>
            <a:t>set-5-units</a:t>
          </a:r>
          <a:endParaRPr lang="en-US" sz="1100" baseline="-25000">
            <a:solidFill>
              <a:schemeClr val="accent2"/>
            </a:solidFill>
          </a:endParaRPr>
        </a:p>
      </xdr:txBody>
    </xdr:sp>
    <xdr:clientData/>
  </xdr:twoCellAnchor>
  <xdr:twoCellAnchor>
    <xdr:from>
      <xdr:col>2</xdr:col>
      <xdr:colOff>398944</xdr:colOff>
      <xdr:row>15</xdr:row>
      <xdr:rowOff>18114</xdr:rowOff>
    </xdr:from>
    <xdr:to>
      <xdr:col>3</xdr:col>
      <xdr:colOff>457200</xdr:colOff>
      <xdr:row>27</xdr:row>
      <xdr:rowOff>180974</xdr:rowOff>
    </xdr:to>
    <xdr:sp macro="" textlink="">
      <xdr:nvSpPr>
        <xdr:cNvPr id="4" name="Right Brace 3">
          <a:extLst>
            <a:ext uri="{FF2B5EF4-FFF2-40B4-BE49-F238E27FC236}">
              <a16:creationId xmlns:a16="http://schemas.microsoft.com/office/drawing/2014/main" id="{608940A2-FE64-4A4E-B2A3-EAABD7102029}"/>
            </a:ext>
          </a:extLst>
        </xdr:cNvPr>
        <xdr:cNvSpPr/>
      </xdr:nvSpPr>
      <xdr:spPr>
        <a:xfrm rot="10800000">
          <a:off x="1732444" y="3399489"/>
          <a:ext cx="725006" cy="2344085"/>
        </a:xfrm>
        <a:prstGeom prst="rightBrace">
          <a:avLst>
            <a:gd name="adj1" fmla="val 50575"/>
            <a:gd name="adj2" fmla="val 43942"/>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457200</xdr:colOff>
      <xdr:row>27</xdr:row>
      <xdr:rowOff>180974</xdr:rowOff>
    </xdr:from>
    <xdr:to>
      <xdr:col>4</xdr:col>
      <xdr:colOff>646821</xdr:colOff>
      <xdr:row>27</xdr:row>
      <xdr:rowOff>182589</xdr:rowOff>
    </xdr:to>
    <xdr:cxnSp macro="">
      <xdr:nvCxnSpPr>
        <xdr:cNvPr id="5" name="Straight Connector 4">
          <a:extLst>
            <a:ext uri="{FF2B5EF4-FFF2-40B4-BE49-F238E27FC236}">
              <a16:creationId xmlns:a16="http://schemas.microsoft.com/office/drawing/2014/main" id="{BE9B9040-02EF-4EDC-9062-DBC6292F5D0B}"/>
            </a:ext>
          </a:extLst>
        </xdr:cNvPr>
        <xdr:cNvCxnSpPr>
          <a:stCxn id="4" idx="0"/>
        </xdr:cNvCxnSpPr>
      </xdr:nvCxnSpPr>
      <xdr:spPr>
        <a:xfrm>
          <a:off x="2457450" y="5743574"/>
          <a:ext cx="856371" cy="1615"/>
        </a:xfrm>
        <a:prstGeom prst="line">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457200</xdr:colOff>
      <xdr:row>15</xdr:row>
      <xdr:rowOff>9607</xdr:rowOff>
    </xdr:from>
    <xdr:to>
      <xdr:col>4</xdr:col>
      <xdr:colOff>648059</xdr:colOff>
      <xdr:row>15</xdr:row>
      <xdr:rowOff>18114</xdr:rowOff>
    </xdr:to>
    <xdr:cxnSp macro="">
      <xdr:nvCxnSpPr>
        <xdr:cNvPr id="6" name="Straight Connector 5">
          <a:extLst>
            <a:ext uri="{FF2B5EF4-FFF2-40B4-BE49-F238E27FC236}">
              <a16:creationId xmlns:a16="http://schemas.microsoft.com/office/drawing/2014/main" id="{A3440B54-C0D6-4264-8B82-32CA5EFCB8E7}"/>
            </a:ext>
          </a:extLst>
        </xdr:cNvPr>
        <xdr:cNvCxnSpPr>
          <a:stCxn id="2" idx="2"/>
          <a:endCxn id="4" idx="2"/>
        </xdr:cNvCxnSpPr>
      </xdr:nvCxnSpPr>
      <xdr:spPr>
        <a:xfrm flipH="1">
          <a:off x="2457450" y="3390982"/>
          <a:ext cx="857609" cy="8507"/>
        </a:xfrm>
        <a:prstGeom prst="line">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47792</xdr:colOff>
      <xdr:row>21</xdr:row>
      <xdr:rowOff>67225</xdr:rowOff>
    </xdr:from>
    <xdr:to>
      <xdr:col>3</xdr:col>
      <xdr:colOff>36196</xdr:colOff>
      <xdr:row>22</xdr:row>
      <xdr:rowOff>150714</xdr:rowOff>
    </xdr:to>
    <xdr:sp macro="" textlink="">
      <xdr:nvSpPr>
        <xdr:cNvPr id="7" name="TextBox 6">
          <a:extLst>
            <a:ext uri="{FF2B5EF4-FFF2-40B4-BE49-F238E27FC236}">
              <a16:creationId xmlns:a16="http://schemas.microsoft.com/office/drawing/2014/main" id="{3437C9CC-AE1E-4BF7-9C7E-DC36FE3A5CC5}"/>
            </a:ext>
          </a:extLst>
        </xdr:cNvPr>
        <xdr:cNvSpPr txBox="1"/>
      </xdr:nvSpPr>
      <xdr:spPr>
        <a:xfrm>
          <a:off x="714542" y="4058200"/>
          <a:ext cx="1321904" cy="2644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accent6">
                  <a:lumMod val="75000"/>
                </a:schemeClr>
              </a:solidFill>
            </a:rPr>
            <a:t>AEG</a:t>
          </a:r>
          <a:r>
            <a:rPr lang="en-US" sz="1000" baseline="-25000">
              <a:solidFill>
                <a:schemeClr val="accent6">
                  <a:lumMod val="75000"/>
                </a:schemeClr>
              </a:solidFill>
            </a:rPr>
            <a:t>set-&gt;20</a:t>
          </a:r>
          <a:r>
            <a:rPr lang="en-US" sz="1000" baseline="0">
              <a:solidFill>
                <a:schemeClr val="accent6">
                  <a:lumMod val="75000"/>
                </a:schemeClr>
              </a:solidFill>
            </a:rPr>
            <a:t> </a:t>
          </a:r>
          <a:r>
            <a:rPr lang="en-US" sz="1000" baseline="-25000">
              <a:solidFill>
                <a:schemeClr val="accent6">
                  <a:lumMod val="75000"/>
                </a:schemeClr>
              </a:solidFill>
            </a:rPr>
            <a:t>per cent</a:t>
          </a:r>
          <a:endParaRPr lang="en-US" sz="1100" baseline="-25000">
            <a:solidFill>
              <a:schemeClr val="accent6">
                <a:lumMod val="75000"/>
              </a:schemeClr>
            </a:solidFill>
          </a:endParaRPr>
        </a:p>
      </xdr:txBody>
    </xdr:sp>
    <xdr:clientData/>
  </xdr:twoCellAnchor>
  <xdr:twoCellAnchor>
    <xdr:from>
      <xdr:col>9</xdr:col>
      <xdr:colOff>142875</xdr:colOff>
      <xdr:row>132</xdr:row>
      <xdr:rowOff>123824</xdr:rowOff>
    </xdr:from>
    <xdr:to>
      <xdr:col>12</xdr:col>
      <xdr:colOff>180975</xdr:colOff>
      <xdr:row>138</xdr:row>
      <xdr:rowOff>114299</xdr:rowOff>
    </xdr:to>
    <xdr:sp macro="" textlink="">
      <xdr:nvSpPr>
        <xdr:cNvPr id="8" name="TextBox 7">
          <a:extLst>
            <a:ext uri="{FF2B5EF4-FFF2-40B4-BE49-F238E27FC236}">
              <a16:creationId xmlns:a16="http://schemas.microsoft.com/office/drawing/2014/main" id="{7E9C4AD4-1C3E-4E38-B0AA-EC9B52B5A6E4}"/>
            </a:ext>
          </a:extLst>
        </xdr:cNvPr>
        <xdr:cNvSpPr txBox="1"/>
      </xdr:nvSpPr>
      <xdr:spPr>
        <a:xfrm>
          <a:off x="8389620" y="22966679"/>
          <a:ext cx="3390900" cy="10744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Note: these 5 plants are</a:t>
          </a:r>
          <a:r>
            <a:rPr lang="en-US" sz="1100" baseline="0"/>
            <a:t> </a:t>
          </a:r>
          <a:r>
            <a:rPr lang="en-US" sz="1100"/>
            <a:t>isted here since no information on generation by individual units is available. These plants contribute</a:t>
          </a:r>
          <a:r>
            <a:rPr lang="en-US" sz="1100" baseline="0"/>
            <a:t> to the total generation and none is included in the sample for the calculation of the emission factor of the built margin.</a:t>
          </a:r>
          <a:endParaRPr lang="en-US" sz="1100"/>
        </a:p>
      </xdr:txBody>
    </xdr:sp>
    <xdr:clientData/>
  </xdr:twoCellAnchor>
  <xdr:twoCellAnchor>
    <xdr:from>
      <xdr:col>0</xdr:col>
      <xdr:colOff>135147</xdr:colOff>
      <xdr:row>0</xdr:row>
      <xdr:rowOff>3</xdr:rowOff>
    </xdr:from>
    <xdr:to>
      <xdr:col>0</xdr:col>
      <xdr:colOff>629599</xdr:colOff>
      <xdr:row>5</xdr:row>
      <xdr:rowOff>28578</xdr:rowOff>
    </xdr:to>
    <xdr:grpSp>
      <xdr:nvGrpSpPr>
        <xdr:cNvPr id="13" name="Group 12">
          <a:hlinkClick xmlns:r="http://schemas.openxmlformats.org/officeDocument/2006/relationships" r:id="rId1"/>
          <a:extLst>
            <a:ext uri="{FF2B5EF4-FFF2-40B4-BE49-F238E27FC236}">
              <a16:creationId xmlns:a16="http://schemas.microsoft.com/office/drawing/2014/main" id="{2978976B-4092-4601-A468-DF22B1358099}"/>
            </a:ext>
          </a:extLst>
        </xdr:cNvPr>
        <xdr:cNvGrpSpPr/>
      </xdr:nvGrpSpPr>
      <xdr:grpSpPr>
        <a:xfrm>
          <a:off x="135147" y="3"/>
          <a:ext cx="486832" cy="1073604"/>
          <a:chOff x="87563" y="1608"/>
          <a:chExt cx="525261" cy="876193"/>
        </a:xfrm>
        <a:solidFill>
          <a:schemeClr val="accent5">
            <a:lumMod val="75000"/>
          </a:schemeClr>
        </a:solidFill>
      </xdr:grpSpPr>
      <xdr:grpSp>
        <xdr:nvGrpSpPr>
          <xdr:cNvPr id="14" name="Group 13">
            <a:extLst>
              <a:ext uri="{FF2B5EF4-FFF2-40B4-BE49-F238E27FC236}">
                <a16:creationId xmlns:a16="http://schemas.microsoft.com/office/drawing/2014/main" id="{84DA7A62-F841-4E4B-8086-E61D42E783E0}"/>
              </a:ext>
            </a:extLst>
          </xdr:cNvPr>
          <xdr:cNvGrpSpPr/>
        </xdr:nvGrpSpPr>
        <xdr:grpSpPr>
          <a:xfrm>
            <a:off x="87563" y="1608"/>
            <a:ext cx="525261" cy="876193"/>
            <a:chOff x="7657769" y="3576577"/>
            <a:chExt cx="1029495" cy="1991344"/>
          </a:xfrm>
          <a:grpFill/>
        </xdr:grpSpPr>
        <xdr:sp macro="" textlink="">
          <xdr:nvSpPr>
            <xdr:cNvPr id="16" name="Flowchart: Delay 15">
              <a:extLst>
                <a:ext uri="{FF2B5EF4-FFF2-40B4-BE49-F238E27FC236}">
                  <a16:creationId xmlns:a16="http://schemas.microsoft.com/office/drawing/2014/main" id="{189C5F91-5FDE-47D8-A93A-3D090DDA3599}"/>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7" name="Rectangle 16">
              <a:extLst>
                <a:ext uri="{FF2B5EF4-FFF2-40B4-BE49-F238E27FC236}">
                  <a16:creationId xmlns:a16="http://schemas.microsoft.com/office/drawing/2014/main" id="{62499AF0-C802-4BAB-90F8-2AAA58BB02AE}"/>
                </a:ext>
              </a:extLst>
            </xdr:cNvPr>
            <xdr:cNvSpPr/>
          </xdr:nvSpPr>
          <xdr:spPr>
            <a:xfrm>
              <a:off x="7657769" y="3576577"/>
              <a:ext cx="1029495" cy="91664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15" name="TextBox 14">
            <a:extLst>
              <a:ext uri="{FF2B5EF4-FFF2-40B4-BE49-F238E27FC236}">
                <a16:creationId xmlns:a16="http://schemas.microsoft.com/office/drawing/2014/main" id="{BFA53AE7-3261-4A15-B623-0F41A1D29355}"/>
              </a:ext>
            </a:extLst>
          </xdr:cNvPr>
          <xdr:cNvSpPr txBox="1"/>
        </xdr:nvSpPr>
        <xdr:spPr>
          <a:xfrm>
            <a:off x="142056" y="159234"/>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C</a:t>
            </a:r>
          </a:p>
        </xdr:txBody>
      </xdr:sp>
    </xdr:grp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409851</xdr:colOff>
      <xdr:row>15</xdr:row>
      <xdr:rowOff>28657</xdr:rowOff>
    </xdr:from>
    <xdr:to>
      <xdr:col>4</xdr:col>
      <xdr:colOff>617579</xdr:colOff>
      <xdr:row>20</xdr:row>
      <xdr:rowOff>20375</xdr:rowOff>
    </xdr:to>
    <xdr:sp macro="" textlink="">
      <xdr:nvSpPr>
        <xdr:cNvPr id="2" name="Right Brace 1">
          <a:extLst>
            <a:ext uri="{FF2B5EF4-FFF2-40B4-BE49-F238E27FC236}">
              <a16:creationId xmlns:a16="http://schemas.microsoft.com/office/drawing/2014/main" id="{43CBC7BA-7635-4619-A52C-1DB55CCB9B1F}"/>
            </a:ext>
          </a:extLst>
        </xdr:cNvPr>
        <xdr:cNvSpPr/>
      </xdr:nvSpPr>
      <xdr:spPr>
        <a:xfrm rot="10800000">
          <a:off x="3076851" y="3419557"/>
          <a:ext cx="207728" cy="906118"/>
        </a:xfrm>
        <a:prstGeom prst="rightBrace">
          <a:avLst>
            <a:gd name="adj1" fmla="val 85256"/>
            <a:gd name="adj2" fmla="val 49130"/>
          </a:avLst>
        </a:prstGeom>
        <a:ln>
          <a:solidFill>
            <a:schemeClr val="accent2"/>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227109</xdr:colOff>
      <xdr:row>16</xdr:row>
      <xdr:rowOff>113431</xdr:rowOff>
    </xdr:from>
    <xdr:to>
      <xdr:col>4</xdr:col>
      <xdr:colOff>495076</xdr:colOff>
      <xdr:row>18</xdr:row>
      <xdr:rowOff>8325</xdr:rowOff>
    </xdr:to>
    <xdr:sp macro="" textlink="">
      <xdr:nvSpPr>
        <xdr:cNvPr id="3" name="TextBox 2">
          <a:extLst>
            <a:ext uri="{FF2B5EF4-FFF2-40B4-BE49-F238E27FC236}">
              <a16:creationId xmlns:a16="http://schemas.microsoft.com/office/drawing/2014/main" id="{E0C6B043-76A2-43D3-9A11-A8226C3D73F0}"/>
            </a:ext>
          </a:extLst>
        </xdr:cNvPr>
        <xdr:cNvSpPr txBox="1"/>
      </xdr:nvSpPr>
      <xdr:spPr>
        <a:xfrm>
          <a:off x="2227359" y="3685306"/>
          <a:ext cx="934717" cy="2568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accent2"/>
              </a:solidFill>
            </a:rPr>
            <a:t>AEG</a:t>
          </a:r>
          <a:r>
            <a:rPr lang="en-US" sz="1000" baseline="-25000">
              <a:solidFill>
                <a:schemeClr val="accent2"/>
              </a:solidFill>
            </a:rPr>
            <a:t>set-5-units</a:t>
          </a:r>
          <a:endParaRPr lang="en-US" sz="1100" baseline="-25000">
            <a:solidFill>
              <a:schemeClr val="accent2"/>
            </a:solidFill>
          </a:endParaRPr>
        </a:p>
      </xdr:txBody>
    </xdr:sp>
    <xdr:clientData/>
  </xdr:twoCellAnchor>
  <xdr:twoCellAnchor>
    <xdr:from>
      <xdr:col>2</xdr:col>
      <xdr:colOff>429424</xdr:colOff>
      <xdr:row>15</xdr:row>
      <xdr:rowOff>18116</xdr:rowOff>
    </xdr:from>
    <xdr:to>
      <xdr:col>3</xdr:col>
      <xdr:colOff>475663</xdr:colOff>
      <xdr:row>34</xdr:row>
      <xdr:rowOff>18464</xdr:rowOff>
    </xdr:to>
    <xdr:sp macro="" textlink="">
      <xdr:nvSpPr>
        <xdr:cNvPr id="4" name="Right Brace 3">
          <a:extLst>
            <a:ext uri="{FF2B5EF4-FFF2-40B4-BE49-F238E27FC236}">
              <a16:creationId xmlns:a16="http://schemas.microsoft.com/office/drawing/2014/main" id="{FBF2A5AB-AA82-45D0-9B3D-ACAD8FACA529}"/>
            </a:ext>
          </a:extLst>
        </xdr:cNvPr>
        <xdr:cNvSpPr/>
      </xdr:nvSpPr>
      <xdr:spPr>
        <a:xfrm rot="10800000">
          <a:off x="1762924" y="3409016"/>
          <a:ext cx="712989" cy="3457923"/>
        </a:xfrm>
        <a:prstGeom prst="rightBrace">
          <a:avLst>
            <a:gd name="adj1" fmla="val 50575"/>
            <a:gd name="adj2" fmla="val 43942"/>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457200</xdr:colOff>
      <xdr:row>34</xdr:row>
      <xdr:rowOff>11138</xdr:rowOff>
    </xdr:from>
    <xdr:to>
      <xdr:col>4</xdr:col>
      <xdr:colOff>665871</xdr:colOff>
      <xdr:row>34</xdr:row>
      <xdr:rowOff>18464</xdr:rowOff>
    </xdr:to>
    <xdr:cxnSp macro="">
      <xdr:nvCxnSpPr>
        <xdr:cNvPr id="6" name="Straight Connector 5">
          <a:extLst>
            <a:ext uri="{FF2B5EF4-FFF2-40B4-BE49-F238E27FC236}">
              <a16:creationId xmlns:a16="http://schemas.microsoft.com/office/drawing/2014/main" id="{D01ABEAA-7085-4756-8055-558B73CA5893}"/>
            </a:ext>
          </a:extLst>
        </xdr:cNvPr>
        <xdr:cNvCxnSpPr/>
      </xdr:nvCxnSpPr>
      <xdr:spPr>
        <a:xfrm flipV="1">
          <a:off x="2457450" y="6859613"/>
          <a:ext cx="875421" cy="7326"/>
        </a:xfrm>
        <a:prstGeom prst="line">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475663</xdr:colOff>
      <xdr:row>15</xdr:row>
      <xdr:rowOff>18116</xdr:rowOff>
    </xdr:from>
    <xdr:to>
      <xdr:col>4</xdr:col>
      <xdr:colOff>619484</xdr:colOff>
      <xdr:row>15</xdr:row>
      <xdr:rowOff>26752</xdr:rowOff>
    </xdr:to>
    <xdr:cxnSp macro="">
      <xdr:nvCxnSpPr>
        <xdr:cNvPr id="8" name="Straight Connector 7">
          <a:extLst>
            <a:ext uri="{FF2B5EF4-FFF2-40B4-BE49-F238E27FC236}">
              <a16:creationId xmlns:a16="http://schemas.microsoft.com/office/drawing/2014/main" id="{6F7E3550-0191-4A9A-8411-18B705FC90C8}"/>
            </a:ext>
          </a:extLst>
        </xdr:cNvPr>
        <xdr:cNvCxnSpPr>
          <a:stCxn id="2" idx="2"/>
          <a:endCxn id="4" idx="2"/>
        </xdr:cNvCxnSpPr>
      </xdr:nvCxnSpPr>
      <xdr:spPr>
        <a:xfrm flipH="1" flipV="1">
          <a:off x="2475913" y="3409016"/>
          <a:ext cx="810571" cy="8636"/>
        </a:xfrm>
        <a:prstGeom prst="line">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19217</xdr:colOff>
      <xdr:row>24</xdr:row>
      <xdr:rowOff>131995</xdr:rowOff>
    </xdr:from>
    <xdr:to>
      <xdr:col>3</xdr:col>
      <xdr:colOff>9526</xdr:colOff>
      <xdr:row>26</xdr:row>
      <xdr:rowOff>36414</xdr:rowOff>
    </xdr:to>
    <xdr:sp macro="" textlink="">
      <xdr:nvSpPr>
        <xdr:cNvPr id="15" name="TextBox 14">
          <a:extLst>
            <a:ext uri="{FF2B5EF4-FFF2-40B4-BE49-F238E27FC236}">
              <a16:creationId xmlns:a16="http://schemas.microsoft.com/office/drawing/2014/main" id="{129E0100-15C2-418B-A068-6ACB13D7510F}"/>
            </a:ext>
          </a:extLst>
        </xdr:cNvPr>
        <xdr:cNvSpPr txBox="1"/>
      </xdr:nvSpPr>
      <xdr:spPr>
        <a:xfrm>
          <a:off x="685967" y="5161195"/>
          <a:ext cx="1323809" cy="26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accent6">
                  <a:lumMod val="75000"/>
                </a:schemeClr>
              </a:solidFill>
            </a:rPr>
            <a:t>AEG</a:t>
          </a:r>
          <a:r>
            <a:rPr lang="en-US" sz="1000" baseline="-25000">
              <a:solidFill>
                <a:schemeClr val="accent6">
                  <a:lumMod val="75000"/>
                </a:schemeClr>
              </a:solidFill>
            </a:rPr>
            <a:t>set-&gt;20</a:t>
          </a:r>
          <a:r>
            <a:rPr lang="en-US" sz="1000" baseline="0">
              <a:solidFill>
                <a:schemeClr val="accent6">
                  <a:lumMod val="75000"/>
                </a:schemeClr>
              </a:solidFill>
            </a:rPr>
            <a:t> </a:t>
          </a:r>
          <a:r>
            <a:rPr lang="en-US" sz="1000" baseline="-25000">
              <a:solidFill>
                <a:schemeClr val="accent6">
                  <a:lumMod val="75000"/>
                </a:schemeClr>
              </a:solidFill>
            </a:rPr>
            <a:t>per cent</a:t>
          </a:r>
          <a:endParaRPr lang="en-US" sz="1100" baseline="-25000">
            <a:solidFill>
              <a:schemeClr val="accent6">
                <a:lumMod val="75000"/>
              </a:schemeClr>
            </a:solidFill>
          </a:endParaRPr>
        </a:p>
      </xdr:txBody>
    </xdr:sp>
    <xdr:clientData/>
  </xdr:twoCellAnchor>
  <xdr:twoCellAnchor>
    <xdr:from>
      <xdr:col>9</xdr:col>
      <xdr:colOff>142875</xdr:colOff>
      <xdr:row>105</xdr:row>
      <xdr:rowOff>123824</xdr:rowOff>
    </xdr:from>
    <xdr:to>
      <xdr:col>12</xdr:col>
      <xdr:colOff>180975</xdr:colOff>
      <xdr:row>111</xdr:row>
      <xdr:rowOff>114299</xdr:rowOff>
    </xdr:to>
    <xdr:sp macro="" textlink="">
      <xdr:nvSpPr>
        <xdr:cNvPr id="39" name="TextBox 38">
          <a:extLst>
            <a:ext uri="{FF2B5EF4-FFF2-40B4-BE49-F238E27FC236}">
              <a16:creationId xmlns:a16="http://schemas.microsoft.com/office/drawing/2014/main" id="{19C0162C-F8BC-4F20-BCAA-FCE917F23317}"/>
            </a:ext>
          </a:extLst>
        </xdr:cNvPr>
        <xdr:cNvSpPr txBox="1"/>
      </xdr:nvSpPr>
      <xdr:spPr>
        <a:xfrm>
          <a:off x="6915150" y="20393024"/>
          <a:ext cx="3124200" cy="1133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Note: These plants are</a:t>
          </a:r>
          <a:r>
            <a:rPr lang="en-US" sz="1100" baseline="0"/>
            <a:t> </a:t>
          </a:r>
          <a:r>
            <a:rPr lang="en-US" sz="1100"/>
            <a:t>isted here since no information on generation by individual units is available. These plants contribute</a:t>
          </a:r>
          <a:r>
            <a:rPr lang="en-US" sz="1100" baseline="0"/>
            <a:t> to the total generation and none is included in the sample for the calculation of the emission factor of the built margin.</a:t>
          </a:r>
          <a:endParaRPr lang="en-US" sz="1100"/>
        </a:p>
      </xdr:txBody>
    </xdr:sp>
    <xdr:clientData/>
  </xdr:twoCellAnchor>
  <xdr:twoCellAnchor>
    <xdr:from>
      <xdr:col>0</xdr:col>
      <xdr:colOff>85725</xdr:colOff>
      <xdr:row>0</xdr:row>
      <xdr:rowOff>0</xdr:rowOff>
    </xdr:from>
    <xdr:to>
      <xdr:col>0</xdr:col>
      <xdr:colOff>580177</xdr:colOff>
      <xdr:row>5</xdr:row>
      <xdr:rowOff>19049</xdr:rowOff>
    </xdr:to>
    <xdr:grpSp>
      <xdr:nvGrpSpPr>
        <xdr:cNvPr id="14" name="Group 13">
          <a:hlinkClick xmlns:r="http://schemas.openxmlformats.org/officeDocument/2006/relationships" r:id="rId1"/>
          <a:extLst>
            <a:ext uri="{FF2B5EF4-FFF2-40B4-BE49-F238E27FC236}">
              <a16:creationId xmlns:a16="http://schemas.microsoft.com/office/drawing/2014/main" id="{C559617E-C2E9-4FF6-811C-3E31064446F0}"/>
            </a:ext>
          </a:extLst>
        </xdr:cNvPr>
        <xdr:cNvGrpSpPr/>
      </xdr:nvGrpSpPr>
      <xdr:grpSpPr>
        <a:xfrm>
          <a:off x="85725" y="0"/>
          <a:ext cx="494452" cy="1055369"/>
          <a:chOff x="87566" y="0"/>
          <a:chExt cx="523348" cy="877799"/>
        </a:xfrm>
        <a:solidFill>
          <a:schemeClr val="accent5">
            <a:lumMod val="75000"/>
          </a:schemeClr>
        </a:solidFill>
      </xdr:grpSpPr>
      <xdr:grpSp>
        <xdr:nvGrpSpPr>
          <xdr:cNvPr id="16" name="Group 15">
            <a:extLst>
              <a:ext uri="{FF2B5EF4-FFF2-40B4-BE49-F238E27FC236}">
                <a16:creationId xmlns:a16="http://schemas.microsoft.com/office/drawing/2014/main" id="{287B1437-2487-4F4A-8E65-7988BFF91228}"/>
              </a:ext>
            </a:extLst>
          </xdr:cNvPr>
          <xdr:cNvGrpSpPr/>
        </xdr:nvGrpSpPr>
        <xdr:grpSpPr>
          <a:xfrm>
            <a:off x="87566" y="0"/>
            <a:ext cx="523348" cy="877799"/>
            <a:chOff x="7657771" y="3572926"/>
            <a:chExt cx="1025745" cy="1994995"/>
          </a:xfrm>
          <a:grpFill/>
        </xdr:grpSpPr>
        <xdr:sp macro="" textlink="">
          <xdr:nvSpPr>
            <xdr:cNvPr id="18" name="Flowchart: Delay 17">
              <a:extLst>
                <a:ext uri="{FF2B5EF4-FFF2-40B4-BE49-F238E27FC236}">
                  <a16:creationId xmlns:a16="http://schemas.microsoft.com/office/drawing/2014/main" id="{B4DD1537-0005-4981-B748-A7438834E03C}"/>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9" name="Rectangle 18">
              <a:extLst>
                <a:ext uri="{FF2B5EF4-FFF2-40B4-BE49-F238E27FC236}">
                  <a16:creationId xmlns:a16="http://schemas.microsoft.com/office/drawing/2014/main" id="{33A97F9A-EE5D-445C-A298-AC448508F96F}"/>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17" name="TextBox 16">
            <a:extLst>
              <a:ext uri="{FF2B5EF4-FFF2-40B4-BE49-F238E27FC236}">
                <a16:creationId xmlns:a16="http://schemas.microsoft.com/office/drawing/2014/main" id="{997E0E1B-6099-4EA6-A2BB-802555541CB4}"/>
              </a:ext>
            </a:extLst>
          </xdr:cNvPr>
          <xdr:cNvSpPr txBox="1"/>
        </xdr:nvSpPr>
        <xdr:spPr>
          <a:xfrm>
            <a:off x="142056" y="159234"/>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C</a:t>
            </a:r>
          </a:p>
        </xdr:txBody>
      </xdr:sp>
    </xdr:grp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76200</xdr:colOff>
      <xdr:row>0</xdr:row>
      <xdr:rowOff>0</xdr:rowOff>
    </xdr:from>
    <xdr:to>
      <xdr:col>0</xdr:col>
      <xdr:colOff>601453</xdr:colOff>
      <xdr:row>5</xdr:row>
      <xdr:rowOff>1905</xdr:rowOff>
    </xdr:to>
    <xdr:grpSp>
      <xdr:nvGrpSpPr>
        <xdr:cNvPr id="2" name="Group 1">
          <a:hlinkClick xmlns:r="http://schemas.openxmlformats.org/officeDocument/2006/relationships" r:id="rId1"/>
          <a:extLst>
            <a:ext uri="{FF2B5EF4-FFF2-40B4-BE49-F238E27FC236}">
              <a16:creationId xmlns:a16="http://schemas.microsoft.com/office/drawing/2014/main" id="{781408E7-CEF9-4DB1-BF9F-2BDA3ADDAA5C}"/>
            </a:ext>
          </a:extLst>
        </xdr:cNvPr>
        <xdr:cNvGrpSpPr/>
      </xdr:nvGrpSpPr>
      <xdr:grpSpPr>
        <a:xfrm>
          <a:off x="76200" y="0"/>
          <a:ext cx="525253" cy="1030605"/>
          <a:chOff x="85661" y="0"/>
          <a:chExt cx="525253" cy="879704"/>
        </a:xfrm>
        <a:solidFill>
          <a:schemeClr val="accent6">
            <a:lumMod val="75000"/>
          </a:schemeClr>
        </a:solidFill>
      </xdr:grpSpPr>
      <xdr:grpSp>
        <xdr:nvGrpSpPr>
          <xdr:cNvPr id="3" name="Group 2">
            <a:extLst>
              <a:ext uri="{FF2B5EF4-FFF2-40B4-BE49-F238E27FC236}">
                <a16:creationId xmlns:a16="http://schemas.microsoft.com/office/drawing/2014/main" id="{6A430578-ACB1-4E7D-AB46-832851448B27}"/>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8E834AB5-D8DF-4CB1-B40E-3315FE854C6F}"/>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7004F704-7FFE-43E4-952D-306612EE6F03}"/>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D2B171DE-903E-44C1-90AF-5963F7563C7B}"/>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D</a:t>
            </a:r>
          </a:p>
        </xdr:txBody>
      </xdr:sp>
    </xdr:grp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xdr:colOff>
      <xdr:row>0</xdr:row>
      <xdr:rowOff>0</xdr:rowOff>
    </xdr:from>
    <xdr:to>
      <xdr:col>0</xdr:col>
      <xdr:colOff>582403</xdr:colOff>
      <xdr:row>5</xdr:row>
      <xdr:rowOff>106680</xdr:rowOff>
    </xdr:to>
    <xdr:grpSp>
      <xdr:nvGrpSpPr>
        <xdr:cNvPr id="2" name="Group 1">
          <a:hlinkClick xmlns:r="http://schemas.openxmlformats.org/officeDocument/2006/relationships" r:id="rId1"/>
          <a:extLst>
            <a:ext uri="{FF2B5EF4-FFF2-40B4-BE49-F238E27FC236}">
              <a16:creationId xmlns:a16="http://schemas.microsoft.com/office/drawing/2014/main" id="{2CCF32FA-76B5-410A-B768-373B53248A2F}"/>
            </a:ext>
          </a:extLst>
        </xdr:cNvPr>
        <xdr:cNvGrpSpPr/>
      </xdr:nvGrpSpPr>
      <xdr:grpSpPr>
        <a:xfrm>
          <a:off x="57150" y="0"/>
          <a:ext cx="525253" cy="1135380"/>
          <a:chOff x="85661" y="0"/>
          <a:chExt cx="525253" cy="879704"/>
        </a:xfrm>
        <a:solidFill>
          <a:schemeClr val="accent6">
            <a:lumMod val="75000"/>
          </a:schemeClr>
        </a:solidFill>
      </xdr:grpSpPr>
      <xdr:grpSp>
        <xdr:nvGrpSpPr>
          <xdr:cNvPr id="3" name="Group 2">
            <a:extLst>
              <a:ext uri="{FF2B5EF4-FFF2-40B4-BE49-F238E27FC236}">
                <a16:creationId xmlns:a16="http://schemas.microsoft.com/office/drawing/2014/main" id="{1A8FEFFE-1D4E-4CDF-8CCA-7D7169B04DFA}"/>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B53D030B-D0F3-4B68-B6A3-A7743DDFAF66}"/>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42F3BA6D-0F2C-43A0-B34C-913985BFB926}"/>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AA8F1BF2-D452-4A15-8F96-3F783C3E2EC9}"/>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D</a:t>
            </a:r>
          </a:p>
        </xdr:txBody>
      </xdr:sp>
    </xdr:grp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525253</xdr:colOff>
      <xdr:row>4</xdr:row>
      <xdr:rowOff>182880</xdr:rowOff>
    </xdr:to>
    <xdr:grpSp>
      <xdr:nvGrpSpPr>
        <xdr:cNvPr id="2" name="Group 1">
          <a:hlinkClick xmlns:r="http://schemas.openxmlformats.org/officeDocument/2006/relationships" r:id="rId1"/>
          <a:extLst>
            <a:ext uri="{FF2B5EF4-FFF2-40B4-BE49-F238E27FC236}">
              <a16:creationId xmlns:a16="http://schemas.microsoft.com/office/drawing/2014/main" id="{2CCF32FA-76B5-410A-B768-373B53248A2F}"/>
            </a:ext>
          </a:extLst>
        </xdr:cNvPr>
        <xdr:cNvGrpSpPr/>
      </xdr:nvGrpSpPr>
      <xdr:grpSpPr>
        <a:xfrm>
          <a:off x="0" y="0"/>
          <a:ext cx="525253" cy="1135380"/>
          <a:chOff x="85661" y="0"/>
          <a:chExt cx="525253" cy="879704"/>
        </a:xfrm>
        <a:solidFill>
          <a:srgbClr val="FFFF00"/>
        </a:solidFill>
      </xdr:grpSpPr>
      <xdr:grpSp>
        <xdr:nvGrpSpPr>
          <xdr:cNvPr id="3" name="Group 2">
            <a:extLst>
              <a:ext uri="{FF2B5EF4-FFF2-40B4-BE49-F238E27FC236}">
                <a16:creationId xmlns:a16="http://schemas.microsoft.com/office/drawing/2014/main" id="{1A8FEFFE-1D4E-4CDF-8CCA-7D7169B04DFA}"/>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B53D030B-D0F3-4B68-B6A3-A7743DDFAF66}"/>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42F3BA6D-0F2C-43A0-B34C-913985BFB926}"/>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AA8F1BF2-D452-4A15-8F96-3F783C3E2EC9}"/>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tx1"/>
                </a:solidFill>
              </a:rPr>
              <a:t>G</a:t>
            </a:r>
          </a:p>
        </xdr:txBody>
      </xdr:sp>
    </xdr:grp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525253</xdr:colOff>
      <xdr:row>6</xdr:row>
      <xdr:rowOff>22860</xdr:rowOff>
    </xdr:to>
    <xdr:grpSp>
      <xdr:nvGrpSpPr>
        <xdr:cNvPr id="3" name="Group 1">
          <a:hlinkClick xmlns:r="http://schemas.openxmlformats.org/officeDocument/2006/relationships" r:id="rId1"/>
          <a:extLst>
            <a:ext uri="{FF2B5EF4-FFF2-40B4-BE49-F238E27FC236}">
              <a16:creationId xmlns:a16="http://schemas.microsoft.com/office/drawing/2014/main" id="{2CCF32FA-76B5-410A-B768-373B53248A2F}"/>
            </a:ext>
          </a:extLst>
        </xdr:cNvPr>
        <xdr:cNvGrpSpPr/>
      </xdr:nvGrpSpPr>
      <xdr:grpSpPr>
        <a:xfrm>
          <a:off x="0" y="0"/>
          <a:ext cx="525253" cy="1135380"/>
          <a:chOff x="85661" y="0"/>
          <a:chExt cx="525253" cy="879704"/>
        </a:xfrm>
        <a:solidFill>
          <a:schemeClr val="accent3">
            <a:lumMod val="20000"/>
            <a:lumOff val="80000"/>
          </a:schemeClr>
        </a:solidFill>
      </xdr:grpSpPr>
      <xdr:grpSp>
        <xdr:nvGrpSpPr>
          <xdr:cNvPr id="4" name="Group 2">
            <a:extLst>
              <a:ext uri="{FF2B5EF4-FFF2-40B4-BE49-F238E27FC236}">
                <a16:creationId xmlns:a16="http://schemas.microsoft.com/office/drawing/2014/main" id="{1A8FEFFE-1D4E-4CDF-8CCA-7D7169B04DFA}"/>
              </a:ext>
            </a:extLst>
          </xdr:cNvPr>
          <xdr:cNvGrpSpPr/>
        </xdr:nvGrpSpPr>
        <xdr:grpSpPr>
          <a:xfrm>
            <a:off x="87566" y="0"/>
            <a:ext cx="523348" cy="877799"/>
            <a:chOff x="7657771" y="3572926"/>
            <a:chExt cx="1025745" cy="1994995"/>
          </a:xfrm>
          <a:grpFill/>
        </xdr:grpSpPr>
        <xdr:sp macro="" textlink="">
          <xdr:nvSpPr>
            <xdr:cNvPr id="6" name="Flowchart: Delay 4">
              <a:extLst>
                <a:ext uri="{FF2B5EF4-FFF2-40B4-BE49-F238E27FC236}">
                  <a16:creationId xmlns:a16="http://schemas.microsoft.com/office/drawing/2014/main" id="{B53D030B-D0F3-4B68-B6A3-A7743DDFAF66}"/>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 name="Rectangle 5">
              <a:extLst>
                <a:ext uri="{FF2B5EF4-FFF2-40B4-BE49-F238E27FC236}">
                  <a16:creationId xmlns:a16="http://schemas.microsoft.com/office/drawing/2014/main" id="{42F3BA6D-0F2C-43A0-B34C-913985BFB926}"/>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5" name="TextBox 3">
            <a:hlinkClick xmlns:r="http://schemas.openxmlformats.org/officeDocument/2006/relationships" r:id="rId1"/>
            <a:extLst>
              <a:ext uri="{FF2B5EF4-FFF2-40B4-BE49-F238E27FC236}">
                <a16:creationId xmlns:a16="http://schemas.microsoft.com/office/drawing/2014/main" id="{AA8F1BF2-D452-4A15-8F96-3F783C3E2EC9}"/>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tx1"/>
                </a:solidFill>
              </a:rPr>
              <a:t>H</a:t>
            </a:r>
          </a:p>
        </xdr:txBody>
      </xdr:sp>
    </xdr:grp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35277</xdr:colOff>
      <xdr:row>0</xdr:row>
      <xdr:rowOff>0</xdr:rowOff>
    </xdr:from>
    <xdr:to>
      <xdr:col>0</xdr:col>
      <xdr:colOff>560530</xdr:colOff>
      <xdr:row>5</xdr:row>
      <xdr:rowOff>119433</xdr:rowOff>
    </xdr:to>
    <xdr:grpSp>
      <xdr:nvGrpSpPr>
        <xdr:cNvPr id="2" name="Group 1">
          <a:hlinkClick xmlns:r="http://schemas.openxmlformats.org/officeDocument/2006/relationships" r:id="rId1"/>
          <a:extLst>
            <a:ext uri="{FF2B5EF4-FFF2-40B4-BE49-F238E27FC236}">
              <a16:creationId xmlns:a16="http://schemas.microsoft.com/office/drawing/2014/main" id="{3F66085C-8EB1-4819-9A0A-704545EA60A3}"/>
            </a:ext>
          </a:extLst>
        </xdr:cNvPr>
        <xdr:cNvGrpSpPr/>
      </xdr:nvGrpSpPr>
      <xdr:grpSpPr>
        <a:xfrm>
          <a:off x="35277" y="0"/>
          <a:ext cx="525253" cy="1153576"/>
          <a:chOff x="85661" y="0"/>
          <a:chExt cx="525253" cy="879704"/>
        </a:xfrm>
        <a:solidFill>
          <a:srgbClr val="996633"/>
        </a:solidFill>
      </xdr:grpSpPr>
      <xdr:grpSp>
        <xdr:nvGrpSpPr>
          <xdr:cNvPr id="3" name="Group 2">
            <a:extLst>
              <a:ext uri="{FF2B5EF4-FFF2-40B4-BE49-F238E27FC236}">
                <a16:creationId xmlns:a16="http://schemas.microsoft.com/office/drawing/2014/main" id="{D585B63D-B718-4E49-91B1-41E00DD3303F}"/>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BE241D4F-A60E-4777-B3E5-822D8EEF7D75}"/>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EF92C767-9846-440D-8F00-95690AEEB0FB}"/>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FC70D944-7440-48E7-AAAF-B3B320B2878C}"/>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E</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87423</xdr:colOff>
      <xdr:row>0</xdr:row>
      <xdr:rowOff>0</xdr:rowOff>
    </xdr:from>
    <xdr:to>
      <xdr:col>0</xdr:col>
      <xdr:colOff>571500</xdr:colOff>
      <xdr:row>4</xdr:row>
      <xdr:rowOff>83435</xdr:rowOff>
    </xdr:to>
    <xdr:grpSp>
      <xdr:nvGrpSpPr>
        <xdr:cNvPr id="8" name="Group 7">
          <a:hlinkClick xmlns:r="http://schemas.openxmlformats.org/officeDocument/2006/relationships" r:id="rId1"/>
          <a:extLst>
            <a:ext uri="{FF2B5EF4-FFF2-40B4-BE49-F238E27FC236}">
              <a16:creationId xmlns:a16="http://schemas.microsoft.com/office/drawing/2014/main" id="{BEC4D3A5-88A9-4435-85AC-751FC44CE4E1}"/>
            </a:ext>
          </a:extLst>
        </xdr:cNvPr>
        <xdr:cNvGrpSpPr/>
      </xdr:nvGrpSpPr>
      <xdr:grpSpPr>
        <a:xfrm>
          <a:off x="87423" y="0"/>
          <a:ext cx="484077" cy="1033694"/>
          <a:chOff x="87566" y="0"/>
          <a:chExt cx="523348" cy="877799"/>
        </a:xfrm>
      </xdr:grpSpPr>
      <xdr:grpSp>
        <xdr:nvGrpSpPr>
          <xdr:cNvPr id="6" name="Group 5">
            <a:extLst>
              <a:ext uri="{FF2B5EF4-FFF2-40B4-BE49-F238E27FC236}">
                <a16:creationId xmlns:a16="http://schemas.microsoft.com/office/drawing/2014/main" id="{FD39F9A6-FD14-4611-A29A-CBC3BFA33738}"/>
              </a:ext>
            </a:extLst>
          </xdr:cNvPr>
          <xdr:cNvGrpSpPr/>
        </xdr:nvGrpSpPr>
        <xdr:grpSpPr>
          <a:xfrm>
            <a:off x="87566" y="0"/>
            <a:ext cx="523348" cy="877799"/>
            <a:chOff x="7657771" y="3572926"/>
            <a:chExt cx="1025745" cy="1994995"/>
          </a:xfrm>
        </xdr:grpSpPr>
        <xdr:sp macro="" textlink="">
          <xdr:nvSpPr>
            <xdr:cNvPr id="4" name="Flowchart: Delay 3">
              <a:extLst>
                <a:ext uri="{FF2B5EF4-FFF2-40B4-BE49-F238E27FC236}">
                  <a16:creationId xmlns:a16="http://schemas.microsoft.com/office/drawing/2014/main" id="{8B05E027-9E10-4093-B33B-C7595E1E64D0}"/>
                </a:ext>
              </a:extLst>
            </xdr:cNvPr>
            <xdr:cNvSpPr/>
          </xdr:nvSpPr>
          <xdr:spPr>
            <a:xfrm rot="5400000">
              <a:off x="7633138" y="4517543"/>
              <a:ext cx="1075011" cy="1025745"/>
            </a:xfrm>
            <a:prstGeom prst="flowChartDelay">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5" name="Rectangle 4">
              <a:extLst>
                <a:ext uri="{FF2B5EF4-FFF2-40B4-BE49-F238E27FC236}">
                  <a16:creationId xmlns:a16="http://schemas.microsoft.com/office/drawing/2014/main" id="{9F224C63-7C07-4D70-8767-D888FC3E9D50}"/>
                </a:ext>
              </a:extLst>
            </xdr:cNvPr>
            <xdr:cNvSpPr/>
          </xdr:nvSpPr>
          <xdr:spPr>
            <a:xfrm>
              <a:off x="7657772" y="3572926"/>
              <a:ext cx="1025744" cy="919984"/>
            </a:xfrm>
            <a:prstGeom prst="rect">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7" name="TextBox 6">
            <a:extLst>
              <a:ext uri="{FF2B5EF4-FFF2-40B4-BE49-F238E27FC236}">
                <a16:creationId xmlns:a16="http://schemas.microsoft.com/office/drawing/2014/main" id="{9C54726B-56F8-49A2-9F0C-D1ED3DB7D9D9}"/>
              </a:ext>
            </a:extLst>
          </xdr:cNvPr>
          <xdr:cNvSpPr txBox="1"/>
        </xdr:nvSpPr>
        <xdr:spPr>
          <a:xfrm>
            <a:off x="141840" y="153203"/>
            <a:ext cx="382708" cy="4861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A</a:t>
            </a:r>
          </a:p>
        </xdr:txBody>
      </xdr:sp>
    </xdr:grpSp>
    <xdr:clientData/>
  </xdr:twoCellAnchor>
  <xdr:twoCellAnchor>
    <xdr:from>
      <xdr:col>2</xdr:col>
      <xdr:colOff>739588</xdr:colOff>
      <xdr:row>39</xdr:row>
      <xdr:rowOff>158000</xdr:rowOff>
    </xdr:from>
    <xdr:to>
      <xdr:col>9</xdr:col>
      <xdr:colOff>112058</xdr:colOff>
      <xdr:row>62</xdr:row>
      <xdr:rowOff>11205</xdr:rowOff>
    </xdr:to>
    <xdr:graphicFrame macro="">
      <xdr:nvGraphicFramePr>
        <xdr:cNvPr id="3" name="Chart 2">
          <a:extLst>
            <a:ext uri="{FF2B5EF4-FFF2-40B4-BE49-F238E27FC236}">
              <a16:creationId xmlns:a16="http://schemas.microsoft.com/office/drawing/2014/main" id="{B7F6FDF3-9EA9-4540-BCB1-E6036C53B77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403412</xdr:colOff>
      <xdr:row>39</xdr:row>
      <xdr:rowOff>179294</xdr:rowOff>
    </xdr:from>
    <xdr:to>
      <xdr:col>19</xdr:col>
      <xdr:colOff>493060</xdr:colOff>
      <xdr:row>62</xdr:row>
      <xdr:rowOff>32499</xdr:rowOff>
    </xdr:to>
    <xdr:graphicFrame macro="">
      <xdr:nvGraphicFramePr>
        <xdr:cNvPr id="9" name="Chart 8">
          <a:extLst>
            <a:ext uri="{FF2B5EF4-FFF2-40B4-BE49-F238E27FC236}">
              <a16:creationId xmlns:a16="http://schemas.microsoft.com/office/drawing/2014/main" id="{4D11B674-474C-414F-A92A-6CB3B98B59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57978</xdr:colOff>
      <xdr:row>0</xdr:row>
      <xdr:rowOff>0</xdr:rowOff>
    </xdr:from>
    <xdr:to>
      <xdr:col>0</xdr:col>
      <xdr:colOff>583231</xdr:colOff>
      <xdr:row>5</xdr:row>
      <xdr:rowOff>0</xdr:rowOff>
    </xdr:to>
    <xdr:grpSp>
      <xdr:nvGrpSpPr>
        <xdr:cNvPr id="7" name="Group 6">
          <a:hlinkClick xmlns:r="http://schemas.openxmlformats.org/officeDocument/2006/relationships" r:id="rId1"/>
          <a:extLst>
            <a:ext uri="{FF2B5EF4-FFF2-40B4-BE49-F238E27FC236}">
              <a16:creationId xmlns:a16="http://schemas.microsoft.com/office/drawing/2014/main" id="{60B6D245-A89D-467F-B692-1B7593710957}"/>
            </a:ext>
          </a:extLst>
        </xdr:cNvPr>
        <xdr:cNvGrpSpPr/>
      </xdr:nvGrpSpPr>
      <xdr:grpSpPr>
        <a:xfrm>
          <a:off x="57978" y="0"/>
          <a:ext cx="525253" cy="1034143"/>
          <a:chOff x="85661" y="0"/>
          <a:chExt cx="525253" cy="879704"/>
        </a:xfrm>
        <a:solidFill>
          <a:srgbClr val="996633"/>
        </a:solidFill>
      </xdr:grpSpPr>
      <xdr:grpSp>
        <xdr:nvGrpSpPr>
          <xdr:cNvPr id="8" name="Group 7">
            <a:extLst>
              <a:ext uri="{FF2B5EF4-FFF2-40B4-BE49-F238E27FC236}">
                <a16:creationId xmlns:a16="http://schemas.microsoft.com/office/drawing/2014/main" id="{4BC4CB6C-B2BF-40ED-8BB6-0680B7EB774B}"/>
              </a:ext>
            </a:extLst>
          </xdr:cNvPr>
          <xdr:cNvGrpSpPr/>
        </xdr:nvGrpSpPr>
        <xdr:grpSpPr>
          <a:xfrm>
            <a:off x="87566" y="0"/>
            <a:ext cx="523348" cy="877799"/>
            <a:chOff x="7657771" y="3572926"/>
            <a:chExt cx="1025745" cy="1994995"/>
          </a:xfrm>
          <a:grpFill/>
        </xdr:grpSpPr>
        <xdr:sp macro="" textlink="">
          <xdr:nvSpPr>
            <xdr:cNvPr id="10" name="Flowchart: Delay 9">
              <a:extLst>
                <a:ext uri="{FF2B5EF4-FFF2-40B4-BE49-F238E27FC236}">
                  <a16:creationId xmlns:a16="http://schemas.microsoft.com/office/drawing/2014/main" id="{2117EBCC-A4E5-42A2-8360-9CEDE7FAAA26}"/>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 name="Rectangle 10">
              <a:extLst>
                <a:ext uri="{FF2B5EF4-FFF2-40B4-BE49-F238E27FC236}">
                  <a16:creationId xmlns:a16="http://schemas.microsoft.com/office/drawing/2014/main" id="{5BDBF42B-DEB2-4BEF-B77C-871A3A3EB4F0}"/>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9" name="TextBox 8">
            <a:extLst>
              <a:ext uri="{FF2B5EF4-FFF2-40B4-BE49-F238E27FC236}">
                <a16:creationId xmlns:a16="http://schemas.microsoft.com/office/drawing/2014/main" id="{4287AD02-3B26-46D3-BF2A-616790E8450E}"/>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E</a:t>
            </a:r>
          </a:p>
        </xdr:txBody>
      </xdr:sp>
    </xdr:grp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57978</xdr:colOff>
      <xdr:row>0</xdr:row>
      <xdr:rowOff>0</xdr:rowOff>
    </xdr:from>
    <xdr:to>
      <xdr:col>0</xdr:col>
      <xdr:colOff>583231</xdr:colOff>
      <xdr:row>5</xdr:row>
      <xdr:rowOff>0</xdr:rowOff>
    </xdr:to>
    <xdr:grpSp>
      <xdr:nvGrpSpPr>
        <xdr:cNvPr id="2" name="Group 1">
          <a:hlinkClick xmlns:r="http://schemas.openxmlformats.org/officeDocument/2006/relationships" r:id="rId1"/>
          <a:extLst>
            <a:ext uri="{FF2B5EF4-FFF2-40B4-BE49-F238E27FC236}">
              <a16:creationId xmlns:a16="http://schemas.microsoft.com/office/drawing/2014/main" id="{B3FF915D-3199-4F27-A585-ABFDE5617568}"/>
            </a:ext>
          </a:extLst>
        </xdr:cNvPr>
        <xdr:cNvGrpSpPr/>
      </xdr:nvGrpSpPr>
      <xdr:grpSpPr>
        <a:xfrm>
          <a:off x="57978" y="0"/>
          <a:ext cx="525253" cy="1019175"/>
          <a:chOff x="85661" y="0"/>
          <a:chExt cx="525253" cy="879704"/>
        </a:xfrm>
        <a:solidFill>
          <a:srgbClr val="996633"/>
        </a:solidFill>
      </xdr:grpSpPr>
      <xdr:grpSp>
        <xdr:nvGrpSpPr>
          <xdr:cNvPr id="3" name="Group 2">
            <a:extLst>
              <a:ext uri="{FF2B5EF4-FFF2-40B4-BE49-F238E27FC236}">
                <a16:creationId xmlns:a16="http://schemas.microsoft.com/office/drawing/2014/main" id="{DD031BA4-D748-4CD2-88F9-79F405BA3DC1}"/>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2096AD8E-AC8B-47F5-90DB-CB5EC8B33D46}"/>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37AC9B78-5DE2-40BB-BE77-10FA75F7989E}"/>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582077C7-B24F-4776-A593-8E353372EE96}"/>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E</a:t>
            </a:r>
          </a:p>
        </xdr:txBody>
      </xdr:sp>
    </xdr:grp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708666</xdr:colOff>
      <xdr:row>17</xdr:row>
      <xdr:rowOff>152573</xdr:rowOff>
    </xdr:from>
    <xdr:to>
      <xdr:col>14</xdr:col>
      <xdr:colOff>173181</xdr:colOff>
      <xdr:row>45</xdr:row>
      <xdr:rowOff>103909</xdr:rowOff>
    </xdr:to>
    <xdr:graphicFrame macro="">
      <xdr:nvGraphicFramePr>
        <xdr:cNvPr id="2" name="Chart 1">
          <a:extLst>
            <a:ext uri="{FF2B5EF4-FFF2-40B4-BE49-F238E27FC236}">
              <a16:creationId xmlns:a16="http://schemas.microsoft.com/office/drawing/2014/main" id="{D71C182C-6A37-4160-81A9-6850F59413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574964</xdr:colOff>
      <xdr:row>17</xdr:row>
      <xdr:rowOff>121228</xdr:rowOff>
    </xdr:from>
    <xdr:to>
      <xdr:col>23</xdr:col>
      <xdr:colOff>133346</xdr:colOff>
      <xdr:row>45</xdr:row>
      <xdr:rowOff>67235</xdr:rowOff>
    </xdr:to>
    <xdr:graphicFrame macro="">
      <xdr:nvGraphicFramePr>
        <xdr:cNvPr id="3" name="Chart 2">
          <a:extLst>
            <a:ext uri="{FF2B5EF4-FFF2-40B4-BE49-F238E27FC236}">
              <a16:creationId xmlns:a16="http://schemas.microsoft.com/office/drawing/2014/main" id="{C4364AD5-45E9-4209-BFF9-7CC94331B1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68036</xdr:colOff>
      <xdr:row>0</xdr:row>
      <xdr:rowOff>1</xdr:rowOff>
    </xdr:from>
    <xdr:to>
      <xdr:col>1</xdr:col>
      <xdr:colOff>8182</xdr:colOff>
      <xdr:row>4</xdr:row>
      <xdr:rowOff>95251</xdr:rowOff>
    </xdr:to>
    <xdr:grpSp>
      <xdr:nvGrpSpPr>
        <xdr:cNvPr id="4" name="Group 3">
          <a:hlinkClick xmlns:r="http://schemas.openxmlformats.org/officeDocument/2006/relationships" r:id="rId3"/>
          <a:extLst>
            <a:ext uri="{FF2B5EF4-FFF2-40B4-BE49-F238E27FC236}">
              <a16:creationId xmlns:a16="http://schemas.microsoft.com/office/drawing/2014/main" id="{2597FF3B-E089-45C7-996D-41E1FB164543}"/>
            </a:ext>
          </a:extLst>
        </xdr:cNvPr>
        <xdr:cNvGrpSpPr/>
      </xdr:nvGrpSpPr>
      <xdr:grpSpPr>
        <a:xfrm>
          <a:off x="68036" y="1"/>
          <a:ext cx="549746" cy="1053193"/>
          <a:chOff x="85661" y="0"/>
          <a:chExt cx="525253" cy="879704"/>
        </a:xfrm>
        <a:solidFill>
          <a:srgbClr val="996633"/>
        </a:solidFill>
      </xdr:grpSpPr>
      <xdr:grpSp>
        <xdr:nvGrpSpPr>
          <xdr:cNvPr id="5" name="Group 4">
            <a:extLst>
              <a:ext uri="{FF2B5EF4-FFF2-40B4-BE49-F238E27FC236}">
                <a16:creationId xmlns:a16="http://schemas.microsoft.com/office/drawing/2014/main" id="{2B3763E0-354A-410B-A43F-ED84533446A6}"/>
              </a:ext>
            </a:extLst>
          </xdr:cNvPr>
          <xdr:cNvGrpSpPr/>
        </xdr:nvGrpSpPr>
        <xdr:grpSpPr>
          <a:xfrm>
            <a:off x="87566" y="0"/>
            <a:ext cx="523348" cy="877799"/>
            <a:chOff x="7657771" y="3572926"/>
            <a:chExt cx="1025745" cy="1994995"/>
          </a:xfrm>
          <a:grpFill/>
        </xdr:grpSpPr>
        <xdr:sp macro="" textlink="">
          <xdr:nvSpPr>
            <xdr:cNvPr id="7" name="Flowchart: Delay 6">
              <a:extLst>
                <a:ext uri="{FF2B5EF4-FFF2-40B4-BE49-F238E27FC236}">
                  <a16:creationId xmlns:a16="http://schemas.microsoft.com/office/drawing/2014/main" id="{D1B7C490-A6D5-4B16-9159-562D2EEE0127}"/>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 name="Rectangle 7">
              <a:extLst>
                <a:ext uri="{FF2B5EF4-FFF2-40B4-BE49-F238E27FC236}">
                  <a16:creationId xmlns:a16="http://schemas.microsoft.com/office/drawing/2014/main" id="{169BAA35-1C49-44F1-8B88-3805697D3624}"/>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6" name="TextBox 5">
            <a:extLst>
              <a:ext uri="{FF2B5EF4-FFF2-40B4-BE49-F238E27FC236}">
                <a16:creationId xmlns:a16="http://schemas.microsoft.com/office/drawing/2014/main" id="{6E795C6D-A656-4B4F-8246-E78109FB2877}"/>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E</a:t>
            </a:r>
          </a:p>
        </xdr:txBody>
      </xdr:sp>
    </xdr:grpSp>
    <xdr:clientData/>
  </xdr:twoCellAnchor>
  <xdr:twoCellAnchor>
    <xdr:from>
      <xdr:col>5</xdr:col>
      <xdr:colOff>708666</xdr:colOff>
      <xdr:row>60</xdr:row>
      <xdr:rowOff>152573</xdr:rowOff>
    </xdr:from>
    <xdr:to>
      <xdr:col>14</xdr:col>
      <xdr:colOff>173181</xdr:colOff>
      <xdr:row>88</xdr:row>
      <xdr:rowOff>103909</xdr:rowOff>
    </xdr:to>
    <xdr:graphicFrame macro="">
      <xdr:nvGraphicFramePr>
        <xdr:cNvPr id="9" name="Chart 8">
          <a:extLst>
            <a:ext uri="{FF2B5EF4-FFF2-40B4-BE49-F238E27FC236}">
              <a16:creationId xmlns:a16="http://schemas.microsoft.com/office/drawing/2014/main" id="{2D6A9B37-A9BC-4189-90D0-89FDECF28E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574964</xdr:colOff>
      <xdr:row>60</xdr:row>
      <xdr:rowOff>121228</xdr:rowOff>
    </xdr:from>
    <xdr:to>
      <xdr:col>23</xdr:col>
      <xdr:colOff>133346</xdr:colOff>
      <xdr:row>88</xdr:row>
      <xdr:rowOff>67235</xdr:rowOff>
    </xdr:to>
    <xdr:graphicFrame macro="">
      <xdr:nvGraphicFramePr>
        <xdr:cNvPr id="10" name="Chart 9">
          <a:extLst>
            <a:ext uri="{FF2B5EF4-FFF2-40B4-BE49-F238E27FC236}">
              <a16:creationId xmlns:a16="http://schemas.microsoft.com/office/drawing/2014/main" id="{1386AB37-D0F1-4AEC-9A3A-02811A1EEC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708666</xdr:colOff>
      <xdr:row>103</xdr:row>
      <xdr:rowOff>152573</xdr:rowOff>
    </xdr:from>
    <xdr:to>
      <xdr:col>14</xdr:col>
      <xdr:colOff>173181</xdr:colOff>
      <xdr:row>131</xdr:row>
      <xdr:rowOff>103909</xdr:rowOff>
    </xdr:to>
    <xdr:graphicFrame macro="">
      <xdr:nvGraphicFramePr>
        <xdr:cNvPr id="11" name="Chart 10">
          <a:extLst>
            <a:ext uri="{FF2B5EF4-FFF2-40B4-BE49-F238E27FC236}">
              <a16:creationId xmlns:a16="http://schemas.microsoft.com/office/drawing/2014/main" id="{2E01D58A-2196-459A-AB55-0E3C161C84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574964</xdr:colOff>
      <xdr:row>103</xdr:row>
      <xdr:rowOff>121228</xdr:rowOff>
    </xdr:from>
    <xdr:to>
      <xdr:col>23</xdr:col>
      <xdr:colOff>133346</xdr:colOff>
      <xdr:row>131</xdr:row>
      <xdr:rowOff>67235</xdr:rowOff>
    </xdr:to>
    <xdr:graphicFrame macro="">
      <xdr:nvGraphicFramePr>
        <xdr:cNvPr id="12" name="Chart 11">
          <a:extLst>
            <a:ext uri="{FF2B5EF4-FFF2-40B4-BE49-F238E27FC236}">
              <a16:creationId xmlns:a16="http://schemas.microsoft.com/office/drawing/2014/main" id="{B0D6F784-5F18-4E27-86CF-E7B89773FF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0</xdr:col>
      <xdr:colOff>66675</xdr:colOff>
      <xdr:row>0</xdr:row>
      <xdr:rowOff>0</xdr:rowOff>
    </xdr:from>
    <xdr:to>
      <xdr:col>0</xdr:col>
      <xdr:colOff>591928</xdr:colOff>
      <xdr:row>4</xdr:row>
      <xdr:rowOff>123825</xdr:rowOff>
    </xdr:to>
    <xdr:grpSp>
      <xdr:nvGrpSpPr>
        <xdr:cNvPr id="2" name="Group 1">
          <a:hlinkClick xmlns:r="http://schemas.openxmlformats.org/officeDocument/2006/relationships" r:id="rId1"/>
          <a:extLst>
            <a:ext uri="{FF2B5EF4-FFF2-40B4-BE49-F238E27FC236}">
              <a16:creationId xmlns:a16="http://schemas.microsoft.com/office/drawing/2014/main" id="{41FB3783-0B03-4111-9644-CCAA23F7621A}"/>
            </a:ext>
          </a:extLst>
        </xdr:cNvPr>
        <xdr:cNvGrpSpPr/>
      </xdr:nvGrpSpPr>
      <xdr:grpSpPr>
        <a:xfrm>
          <a:off x="66675" y="0"/>
          <a:ext cx="525253" cy="969645"/>
          <a:chOff x="85661" y="0"/>
          <a:chExt cx="525253" cy="879704"/>
        </a:xfrm>
        <a:solidFill>
          <a:schemeClr val="bg2">
            <a:lumMod val="50000"/>
          </a:schemeClr>
        </a:solidFill>
      </xdr:grpSpPr>
      <xdr:grpSp>
        <xdr:nvGrpSpPr>
          <xdr:cNvPr id="3" name="Group 2">
            <a:extLst>
              <a:ext uri="{FF2B5EF4-FFF2-40B4-BE49-F238E27FC236}">
                <a16:creationId xmlns:a16="http://schemas.microsoft.com/office/drawing/2014/main" id="{BCE3CFAA-12E4-4D49-A968-7E21A6F41729}"/>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1506E686-F556-41EF-B01D-58B5A075FA77}"/>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204B853A-5F85-439E-AF56-AA945ADB042D}"/>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19F592FA-A4E3-4C85-8F5A-D8908F432875}"/>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F</a:t>
            </a:r>
          </a:p>
        </xdr:txBody>
      </xdr:sp>
    </xdr:grp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xdr:colOff>
      <xdr:row>0</xdr:row>
      <xdr:rowOff>0</xdr:rowOff>
    </xdr:from>
    <xdr:to>
      <xdr:col>0</xdr:col>
      <xdr:colOff>580498</xdr:colOff>
      <xdr:row>4</xdr:row>
      <xdr:rowOff>161925</xdr:rowOff>
    </xdr:to>
    <xdr:grpSp>
      <xdr:nvGrpSpPr>
        <xdr:cNvPr id="2" name="Group 1">
          <a:hlinkClick xmlns:r="http://schemas.openxmlformats.org/officeDocument/2006/relationships" r:id="rId1"/>
          <a:extLst>
            <a:ext uri="{FF2B5EF4-FFF2-40B4-BE49-F238E27FC236}">
              <a16:creationId xmlns:a16="http://schemas.microsoft.com/office/drawing/2014/main" id="{412A9B28-13AC-45E1-9671-B07880CDC33E}"/>
            </a:ext>
          </a:extLst>
        </xdr:cNvPr>
        <xdr:cNvGrpSpPr/>
      </xdr:nvGrpSpPr>
      <xdr:grpSpPr>
        <a:xfrm>
          <a:off x="57150" y="0"/>
          <a:ext cx="523348" cy="1011011"/>
          <a:chOff x="85661" y="0"/>
          <a:chExt cx="525253" cy="879704"/>
        </a:xfrm>
        <a:solidFill>
          <a:schemeClr val="bg2">
            <a:lumMod val="50000"/>
          </a:schemeClr>
        </a:solidFill>
      </xdr:grpSpPr>
      <xdr:grpSp>
        <xdr:nvGrpSpPr>
          <xdr:cNvPr id="3" name="Group 2">
            <a:extLst>
              <a:ext uri="{FF2B5EF4-FFF2-40B4-BE49-F238E27FC236}">
                <a16:creationId xmlns:a16="http://schemas.microsoft.com/office/drawing/2014/main" id="{A78AAAA7-3968-42B5-9391-0C9E92442F29}"/>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E3E2FDC9-B83F-47EF-9BAC-74C19C79231C}"/>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A3CE09C6-C73D-44EB-8793-05FE19961C71}"/>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96C371C0-5764-4FEF-ABC1-9F38BE8BC7BC}"/>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F</a:t>
            </a:r>
          </a:p>
        </xdr:txBody>
      </xdr:sp>
    </xdr:grp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47625</xdr:colOff>
      <xdr:row>0</xdr:row>
      <xdr:rowOff>0</xdr:rowOff>
    </xdr:from>
    <xdr:to>
      <xdr:col>0</xdr:col>
      <xdr:colOff>572878</xdr:colOff>
      <xdr:row>5</xdr:row>
      <xdr:rowOff>55245</xdr:rowOff>
    </xdr:to>
    <xdr:grpSp>
      <xdr:nvGrpSpPr>
        <xdr:cNvPr id="2" name="Group 1">
          <a:hlinkClick xmlns:r="http://schemas.openxmlformats.org/officeDocument/2006/relationships" r:id="rId1"/>
          <a:extLst>
            <a:ext uri="{FF2B5EF4-FFF2-40B4-BE49-F238E27FC236}">
              <a16:creationId xmlns:a16="http://schemas.microsoft.com/office/drawing/2014/main" id="{0B1411CB-7564-4A2A-9AF8-F2D81B282B09}"/>
            </a:ext>
          </a:extLst>
        </xdr:cNvPr>
        <xdr:cNvGrpSpPr/>
      </xdr:nvGrpSpPr>
      <xdr:grpSpPr>
        <a:xfrm>
          <a:off x="47625" y="0"/>
          <a:ext cx="525253" cy="1083945"/>
          <a:chOff x="85661" y="0"/>
          <a:chExt cx="525253" cy="879704"/>
        </a:xfrm>
        <a:solidFill>
          <a:schemeClr val="bg2">
            <a:lumMod val="50000"/>
          </a:schemeClr>
        </a:solidFill>
      </xdr:grpSpPr>
      <xdr:grpSp>
        <xdr:nvGrpSpPr>
          <xdr:cNvPr id="3" name="Group 2">
            <a:extLst>
              <a:ext uri="{FF2B5EF4-FFF2-40B4-BE49-F238E27FC236}">
                <a16:creationId xmlns:a16="http://schemas.microsoft.com/office/drawing/2014/main" id="{B6DB8357-AEE1-4D73-A4AB-40BDE7484449}"/>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49E09C59-F62B-48DC-A0F8-4431E96F43E0}"/>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6476F841-EA71-427C-95D8-F6F15FE4E4D2}"/>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7B2EA191-0818-424E-B2E4-03201F6FFEF8}"/>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F</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79016</xdr:colOff>
      <xdr:row>0</xdr:row>
      <xdr:rowOff>0</xdr:rowOff>
    </xdr:from>
    <xdr:to>
      <xdr:col>0</xdr:col>
      <xdr:colOff>604269</xdr:colOff>
      <xdr:row>4</xdr:row>
      <xdr:rowOff>143981</xdr:rowOff>
    </xdr:to>
    <xdr:grpSp>
      <xdr:nvGrpSpPr>
        <xdr:cNvPr id="2" name="Group 1">
          <a:hlinkClick xmlns:r="http://schemas.openxmlformats.org/officeDocument/2006/relationships" r:id="rId1"/>
          <a:extLst>
            <a:ext uri="{FF2B5EF4-FFF2-40B4-BE49-F238E27FC236}">
              <a16:creationId xmlns:a16="http://schemas.microsoft.com/office/drawing/2014/main" id="{BBE210A9-9E34-45AB-805E-03756DD3617A}"/>
            </a:ext>
          </a:extLst>
        </xdr:cNvPr>
        <xdr:cNvGrpSpPr/>
      </xdr:nvGrpSpPr>
      <xdr:grpSpPr>
        <a:xfrm>
          <a:off x="79016" y="0"/>
          <a:ext cx="525253" cy="989801"/>
          <a:chOff x="85661" y="0"/>
          <a:chExt cx="525253" cy="879704"/>
        </a:xfrm>
        <a:solidFill>
          <a:schemeClr val="accent4">
            <a:lumMod val="60000"/>
            <a:lumOff val="40000"/>
          </a:schemeClr>
        </a:solidFill>
      </xdr:grpSpPr>
      <xdr:grpSp>
        <xdr:nvGrpSpPr>
          <xdr:cNvPr id="3" name="Group 2">
            <a:extLst>
              <a:ext uri="{FF2B5EF4-FFF2-40B4-BE49-F238E27FC236}">
                <a16:creationId xmlns:a16="http://schemas.microsoft.com/office/drawing/2014/main" id="{B3670F7F-1EB2-4243-B41D-F65D2279392E}"/>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25246D50-F978-4C2B-9669-A6ABB07A4B4F}"/>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E8B597E7-6597-427E-A93A-A33BCD10A1C3}"/>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4354159F-8BAC-42CB-9F72-82649C067A63}"/>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75249</xdr:colOff>
      <xdr:row>0</xdr:row>
      <xdr:rowOff>0</xdr:rowOff>
    </xdr:from>
    <xdr:to>
      <xdr:col>0</xdr:col>
      <xdr:colOff>571501</xdr:colOff>
      <xdr:row>4</xdr:row>
      <xdr:rowOff>148828</xdr:rowOff>
    </xdr:to>
    <xdr:grpSp>
      <xdr:nvGrpSpPr>
        <xdr:cNvPr id="2" name="Group 1">
          <a:hlinkClick xmlns:r="http://schemas.openxmlformats.org/officeDocument/2006/relationships" r:id="rId1"/>
          <a:extLst>
            <a:ext uri="{FF2B5EF4-FFF2-40B4-BE49-F238E27FC236}">
              <a16:creationId xmlns:a16="http://schemas.microsoft.com/office/drawing/2014/main" id="{A44DEC95-CAB3-4F82-B363-26963A137634}"/>
            </a:ext>
          </a:extLst>
        </xdr:cNvPr>
        <xdr:cNvGrpSpPr/>
      </xdr:nvGrpSpPr>
      <xdr:grpSpPr>
        <a:xfrm>
          <a:off x="75249" y="0"/>
          <a:ext cx="496252" cy="994648"/>
          <a:chOff x="85661" y="0"/>
          <a:chExt cx="525253" cy="879704"/>
        </a:xfrm>
        <a:solidFill>
          <a:schemeClr val="accent4">
            <a:lumMod val="60000"/>
            <a:lumOff val="40000"/>
          </a:schemeClr>
        </a:solidFill>
      </xdr:grpSpPr>
      <xdr:grpSp>
        <xdr:nvGrpSpPr>
          <xdr:cNvPr id="3" name="Group 2">
            <a:extLst>
              <a:ext uri="{FF2B5EF4-FFF2-40B4-BE49-F238E27FC236}">
                <a16:creationId xmlns:a16="http://schemas.microsoft.com/office/drawing/2014/main" id="{7EA97137-44A6-43A2-9D3B-F24B3D55C119}"/>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B9E9AA35-5335-4F44-AB91-04B8069D7875}"/>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0CAD2FCA-2AD5-4250-AEBF-C1A5303EA6B7}"/>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A69561A9-1E43-4989-B809-205585DE810B}"/>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81200</xdr:colOff>
      <xdr:row>0</xdr:row>
      <xdr:rowOff>0</xdr:rowOff>
    </xdr:from>
    <xdr:to>
      <xdr:col>0</xdr:col>
      <xdr:colOff>575547</xdr:colOff>
      <xdr:row>4</xdr:row>
      <xdr:rowOff>131206</xdr:rowOff>
    </xdr:to>
    <xdr:grpSp>
      <xdr:nvGrpSpPr>
        <xdr:cNvPr id="2" name="Group 1">
          <a:hlinkClick xmlns:r="http://schemas.openxmlformats.org/officeDocument/2006/relationships" r:id="rId1"/>
          <a:extLst>
            <a:ext uri="{FF2B5EF4-FFF2-40B4-BE49-F238E27FC236}">
              <a16:creationId xmlns:a16="http://schemas.microsoft.com/office/drawing/2014/main" id="{D5F501AE-59C5-4F8A-9E3C-1A00BFE9B37F}"/>
            </a:ext>
          </a:extLst>
        </xdr:cNvPr>
        <xdr:cNvGrpSpPr/>
      </xdr:nvGrpSpPr>
      <xdr:grpSpPr>
        <a:xfrm>
          <a:off x="81200" y="0"/>
          <a:ext cx="494347" cy="977026"/>
          <a:chOff x="85661" y="0"/>
          <a:chExt cx="525253" cy="879704"/>
        </a:xfrm>
        <a:solidFill>
          <a:schemeClr val="accent4">
            <a:lumMod val="60000"/>
            <a:lumOff val="40000"/>
          </a:schemeClr>
        </a:solidFill>
      </xdr:grpSpPr>
      <xdr:grpSp>
        <xdr:nvGrpSpPr>
          <xdr:cNvPr id="3" name="Group 2">
            <a:extLst>
              <a:ext uri="{FF2B5EF4-FFF2-40B4-BE49-F238E27FC236}">
                <a16:creationId xmlns:a16="http://schemas.microsoft.com/office/drawing/2014/main" id="{02E68B1F-0F0B-4BE7-85FE-C1F47255737D}"/>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A6AD6AF3-BBE2-453D-A096-0FA678612A96}"/>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63EF4D66-C23F-471A-AE16-5AA2B61F8720}"/>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CCD90EB6-D4FC-4E47-9C6A-5DB7A6BC7B2F}"/>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72259</xdr:colOff>
      <xdr:row>0</xdr:row>
      <xdr:rowOff>0</xdr:rowOff>
    </xdr:from>
    <xdr:to>
      <xdr:col>0</xdr:col>
      <xdr:colOff>568511</xdr:colOff>
      <xdr:row>4</xdr:row>
      <xdr:rowOff>152638</xdr:rowOff>
    </xdr:to>
    <xdr:grpSp>
      <xdr:nvGrpSpPr>
        <xdr:cNvPr id="2" name="Group 1">
          <a:hlinkClick xmlns:r="http://schemas.openxmlformats.org/officeDocument/2006/relationships" r:id="rId1"/>
          <a:extLst>
            <a:ext uri="{FF2B5EF4-FFF2-40B4-BE49-F238E27FC236}">
              <a16:creationId xmlns:a16="http://schemas.microsoft.com/office/drawing/2014/main" id="{CEEF2D59-DF2B-4E85-BD08-C9D40DCFC1B2}"/>
            </a:ext>
          </a:extLst>
        </xdr:cNvPr>
        <xdr:cNvGrpSpPr/>
      </xdr:nvGrpSpPr>
      <xdr:grpSpPr>
        <a:xfrm>
          <a:off x="72259" y="0"/>
          <a:ext cx="496252" cy="998458"/>
          <a:chOff x="85661" y="0"/>
          <a:chExt cx="525253" cy="879704"/>
        </a:xfrm>
        <a:solidFill>
          <a:schemeClr val="accent4">
            <a:lumMod val="60000"/>
            <a:lumOff val="40000"/>
          </a:schemeClr>
        </a:solidFill>
      </xdr:grpSpPr>
      <xdr:grpSp>
        <xdr:nvGrpSpPr>
          <xdr:cNvPr id="3" name="Group 2">
            <a:extLst>
              <a:ext uri="{FF2B5EF4-FFF2-40B4-BE49-F238E27FC236}">
                <a16:creationId xmlns:a16="http://schemas.microsoft.com/office/drawing/2014/main" id="{E52F015F-0619-483E-958B-DF588BBA9127}"/>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42BCCBA4-3580-43D2-A077-AA039DC2A21F}"/>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6334D533-9F79-4276-8307-7276EC9F4CEA}"/>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55DD6DFD-1981-4019-B89E-A507EE2E4389}"/>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85397</xdr:colOff>
      <xdr:row>0</xdr:row>
      <xdr:rowOff>0</xdr:rowOff>
    </xdr:from>
    <xdr:to>
      <xdr:col>0</xdr:col>
      <xdr:colOff>581649</xdr:colOff>
      <xdr:row>4</xdr:row>
      <xdr:rowOff>152638</xdr:rowOff>
    </xdr:to>
    <xdr:grpSp>
      <xdr:nvGrpSpPr>
        <xdr:cNvPr id="2" name="Group 1">
          <a:hlinkClick xmlns:r="http://schemas.openxmlformats.org/officeDocument/2006/relationships" r:id="rId1"/>
          <a:extLst>
            <a:ext uri="{FF2B5EF4-FFF2-40B4-BE49-F238E27FC236}">
              <a16:creationId xmlns:a16="http://schemas.microsoft.com/office/drawing/2014/main" id="{24DCAB3B-7ED2-4FF4-B78E-3861CF42A45E}"/>
            </a:ext>
          </a:extLst>
        </xdr:cNvPr>
        <xdr:cNvGrpSpPr/>
      </xdr:nvGrpSpPr>
      <xdr:grpSpPr>
        <a:xfrm>
          <a:off x="85397" y="0"/>
          <a:ext cx="496252" cy="998458"/>
          <a:chOff x="85661" y="0"/>
          <a:chExt cx="525253" cy="879704"/>
        </a:xfrm>
        <a:solidFill>
          <a:schemeClr val="accent4">
            <a:lumMod val="60000"/>
            <a:lumOff val="40000"/>
          </a:schemeClr>
        </a:solidFill>
      </xdr:grpSpPr>
      <xdr:grpSp>
        <xdr:nvGrpSpPr>
          <xdr:cNvPr id="3" name="Group 2">
            <a:extLst>
              <a:ext uri="{FF2B5EF4-FFF2-40B4-BE49-F238E27FC236}">
                <a16:creationId xmlns:a16="http://schemas.microsoft.com/office/drawing/2014/main" id="{5AF5A1BD-6E37-4E8C-906F-16CEEC3F28C4}"/>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C8D42033-3421-43B2-A0A6-3C49A8E4A519}"/>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0E41D750-E104-4BE3-B538-CA7BF84DE0DF}"/>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42A7D3F7-1B06-4C5B-9320-F7F94203E7A3}"/>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85396</xdr:colOff>
      <xdr:row>0</xdr:row>
      <xdr:rowOff>0</xdr:rowOff>
    </xdr:from>
    <xdr:to>
      <xdr:col>0</xdr:col>
      <xdr:colOff>581648</xdr:colOff>
      <xdr:row>4</xdr:row>
      <xdr:rowOff>152638</xdr:rowOff>
    </xdr:to>
    <xdr:grpSp>
      <xdr:nvGrpSpPr>
        <xdr:cNvPr id="2" name="Group 1">
          <a:hlinkClick xmlns:r="http://schemas.openxmlformats.org/officeDocument/2006/relationships" r:id="rId1"/>
          <a:extLst>
            <a:ext uri="{FF2B5EF4-FFF2-40B4-BE49-F238E27FC236}">
              <a16:creationId xmlns:a16="http://schemas.microsoft.com/office/drawing/2014/main" id="{58C54E19-AB62-469D-875F-3CCBDE54C731}"/>
            </a:ext>
          </a:extLst>
        </xdr:cNvPr>
        <xdr:cNvGrpSpPr/>
      </xdr:nvGrpSpPr>
      <xdr:grpSpPr>
        <a:xfrm>
          <a:off x="85396" y="0"/>
          <a:ext cx="496252" cy="998458"/>
          <a:chOff x="85661" y="0"/>
          <a:chExt cx="525253" cy="879704"/>
        </a:xfrm>
        <a:solidFill>
          <a:schemeClr val="accent4">
            <a:lumMod val="60000"/>
            <a:lumOff val="40000"/>
          </a:schemeClr>
        </a:solidFill>
      </xdr:grpSpPr>
      <xdr:grpSp>
        <xdr:nvGrpSpPr>
          <xdr:cNvPr id="3" name="Group 2">
            <a:extLst>
              <a:ext uri="{FF2B5EF4-FFF2-40B4-BE49-F238E27FC236}">
                <a16:creationId xmlns:a16="http://schemas.microsoft.com/office/drawing/2014/main" id="{0CC38837-D371-438A-BDAF-7A1549BCA795}"/>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6E77D684-BF4B-4A1E-8FF8-5EC4994CB50B}"/>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33F16FF4-DE73-4443-A78A-8A1B1AF25B4E}"/>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2B5A4804-A5D6-43CE-A4B8-3FFC51898812}"/>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78828</xdr:colOff>
      <xdr:row>0</xdr:row>
      <xdr:rowOff>0</xdr:rowOff>
    </xdr:from>
    <xdr:to>
      <xdr:col>0</xdr:col>
      <xdr:colOff>575080</xdr:colOff>
      <xdr:row>4</xdr:row>
      <xdr:rowOff>152638</xdr:rowOff>
    </xdr:to>
    <xdr:grpSp>
      <xdr:nvGrpSpPr>
        <xdr:cNvPr id="2" name="Group 1">
          <a:hlinkClick xmlns:r="http://schemas.openxmlformats.org/officeDocument/2006/relationships" r:id="rId1"/>
          <a:extLst>
            <a:ext uri="{FF2B5EF4-FFF2-40B4-BE49-F238E27FC236}">
              <a16:creationId xmlns:a16="http://schemas.microsoft.com/office/drawing/2014/main" id="{88E8AD13-E4E7-4C64-8C49-332654004DD6}"/>
            </a:ext>
          </a:extLst>
        </xdr:cNvPr>
        <xdr:cNvGrpSpPr/>
      </xdr:nvGrpSpPr>
      <xdr:grpSpPr>
        <a:xfrm>
          <a:off x="78828" y="0"/>
          <a:ext cx="496252" cy="998458"/>
          <a:chOff x="85661" y="0"/>
          <a:chExt cx="525253" cy="879704"/>
        </a:xfrm>
        <a:solidFill>
          <a:schemeClr val="accent4">
            <a:lumMod val="60000"/>
            <a:lumOff val="40000"/>
          </a:schemeClr>
        </a:solidFill>
      </xdr:grpSpPr>
      <xdr:grpSp>
        <xdr:nvGrpSpPr>
          <xdr:cNvPr id="3" name="Group 2">
            <a:extLst>
              <a:ext uri="{FF2B5EF4-FFF2-40B4-BE49-F238E27FC236}">
                <a16:creationId xmlns:a16="http://schemas.microsoft.com/office/drawing/2014/main" id="{650A3C31-36CC-4158-978E-118C7E1E5DD8}"/>
              </a:ext>
            </a:extLst>
          </xdr:cNvPr>
          <xdr:cNvGrpSpPr/>
        </xdr:nvGrpSpPr>
        <xdr:grpSpPr>
          <a:xfrm>
            <a:off x="87566" y="0"/>
            <a:ext cx="523348" cy="877799"/>
            <a:chOff x="7657771" y="3572926"/>
            <a:chExt cx="1025745" cy="1994995"/>
          </a:xfrm>
          <a:grpFill/>
        </xdr:grpSpPr>
        <xdr:sp macro="" textlink="">
          <xdr:nvSpPr>
            <xdr:cNvPr id="5" name="Flowchart: Delay 4">
              <a:extLst>
                <a:ext uri="{FF2B5EF4-FFF2-40B4-BE49-F238E27FC236}">
                  <a16:creationId xmlns:a16="http://schemas.microsoft.com/office/drawing/2014/main" id="{6648F23E-4CF8-4488-9711-7FA02C620B92}"/>
                </a:ext>
              </a:extLst>
            </xdr:cNvPr>
            <xdr:cNvSpPr/>
          </xdr:nvSpPr>
          <xdr:spPr>
            <a:xfrm rot="5400000">
              <a:off x="7633138" y="4517543"/>
              <a:ext cx="1075011" cy="1025745"/>
            </a:xfrm>
            <a:prstGeom prst="flowChartDelay">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a:extLst>
                <a:ext uri="{FF2B5EF4-FFF2-40B4-BE49-F238E27FC236}">
                  <a16:creationId xmlns:a16="http://schemas.microsoft.com/office/drawing/2014/main" id="{603AA9C1-136F-4459-B372-7DC683FD792C}"/>
                </a:ext>
              </a:extLst>
            </xdr:cNvPr>
            <xdr:cNvSpPr/>
          </xdr:nvSpPr>
          <xdr:spPr>
            <a:xfrm>
              <a:off x="7657772" y="3572926"/>
              <a:ext cx="1025744" cy="919984"/>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grpSp>
      <xdr:sp macro="" textlink="">
        <xdr:nvSpPr>
          <xdr:cNvPr id="4" name="TextBox 3">
            <a:extLst>
              <a:ext uri="{FF2B5EF4-FFF2-40B4-BE49-F238E27FC236}">
                <a16:creationId xmlns:a16="http://schemas.microsoft.com/office/drawing/2014/main" id="{DF8A8F04-67AD-4E92-AD39-C693C5ACD5D0}"/>
              </a:ext>
            </a:extLst>
          </xdr:cNvPr>
          <xdr:cNvSpPr txBox="1"/>
        </xdr:nvSpPr>
        <xdr:spPr>
          <a:xfrm>
            <a:off x="152137" y="113576"/>
            <a:ext cx="382708" cy="486105"/>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solidFill>
                  <a:schemeClr val="bg1"/>
                </a:solidFill>
              </a:rPr>
              <a:t>B</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8" Type="http://schemas.openxmlformats.org/officeDocument/2006/relationships/hyperlink" Target="https://sawi.ae.gob.bo/docfly/app/webroot/uploads/IMG-ANUARIO-rloza-2014-08-08-AnuarioEstadistico2014.zip" TargetMode="External"/><Relationship Id="rId3" Type="http://schemas.openxmlformats.org/officeDocument/2006/relationships/hyperlink" Target="https://sawi.ae.gob.bo/docfly/app/webroot/uploads/IMG-ANUARIO-admin-2010-09-21-AnuarioEstadIstico2007.pdf" TargetMode="External"/><Relationship Id="rId7" Type="http://schemas.openxmlformats.org/officeDocument/2006/relationships/hyperlink" Target="https://sawi.ae.gob.bo/docfly/app/webroot/uploads/IMG-ANUARIO-rloza-2013-07-23-ANUARIOAE2012.pdf" TargetMode="External"/><Relationship Id="rId12" Type="http://schemas.openxmlformats.org/officeDocument/2006/relationships/drawing" Target="../drawings/drawing25.xml"/><Relationship Id="rId2" Type="http://schemas.openxmlformats.org/officeDocument/2006/relationships/hyperlink" Target="https://sawi.ae.gob.bo/docfly/app/webroot/uploads/IMG---2017-09-07-ANUARIO_AE_2016_web.pdf" TargetMode="External"/><Relationship Id="rId1" Type="http://schemas.openxmlformats.org/officeDocument/2006/relationships/hyperlink" Target="https://www.ende.bo/public/licitaciones/Proyecto_RIO_GRANDE-ROSITAS_red.pdf" TargetMode="External"/><Relationship Id="rId6" Type="http://schemas.openxmlformats.org/officeDocument/2006/relationships/hyperlink" Target="https://sawi.ae.gob.bo/docfly/app/webroot/uploads/IMG-ANUARIO-admin-2012-06-20-anuario_2011.pdf" TargetMode="External"/><Relationship Id="rId11" Type="http://schemas.openxmlformats.org/officeDocument/2006/relationships/hyperlink" Target="https://sawi.ae.gob.bo/docfly/app/webroot/uploads/IMG---2018-08-20-Libro_Anuario_AE_2017-web.pdf" TargetMode="External"/><Relationship Id="rId5" Type="http://schemas.openxmlformats.org/officeDocument/2006/relationships/hyperlink" Target="https://sawi.ae.gob.bo/docfly/app/webroot/uploads/IMG-ANUARIO-admin-2011-07-13-ANUARIO%20AE%202010%20PAGINA%20WEB.rar" TargetMode="External"/><Relationship Id="rId10" Type="http://schemas.openxmlformats.org/officeDocument/2006/relationships/hyperlink" Target="https://sawi.ae.gob.bo/docfly/app/webroot/uploads/IMG---2016-08-30-Libro_Anuario_AE_2015reducido.pdf" TargetMode="External"/><Relationship Id="rId4" Type="http://schemas.openxmlformats.org/officeDocument/2006/relationships/hyperlink" Target="https://sawi.ae.gob.bo/docfly/app/webroot/uploads/IMG-ANUARIO-admin-2010-09-21-AnuarioEstadIstico2009.rar" TargetMode="External"/><Relationship Id="rId9" Type="http://schemas.openxmlformats.org/officeDocument/2006/relationships/hyperlink" Target="https://sawi.ae.gob.bo/docfly/app/webroot/uploads/IMG-ANUARIO-rloza-2015-07-28-anuario2014.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3:N20"/>
  <sheetViews>
    <sheetView zoomScaleNormal="100" workbookViewId="0">
      <selection activeCell="C13" sqref="C13"/>
    </sheetView>
  </sheetViews>
  <sheetFormatPr baseColWidth="10" defaultColWidth="8.88671875" defaultRowHeight="14.4" x14ac:dyDescent="0.3"/>
  <cols>
    <col min="1" max="2" width="8.88671875" style="1"/>
    <col min="3" max="3" width="49.6640625" style="1" customWidth="1"/>
    <col min="4" max="16384" width="8.88671875" style="1"/>
  </cols>
  <sheetData>
    <row r="3" spans="2:14" ht="18" x14ac:dyDescent="0.35">
      <c r="B3" s="284" t="s">
        <v>371</v>
      </c>
      <c r="C3" s="284" t="s">
        <v>372</v>
      </c>
    </row>
    <row r="4" spans="2:14" ht="21" x14ac:dyDescent="0.4">
      <c r="B4" s="324" t="s">
        <v>363</v>
      </c>
      <c r="C4" s="329" t="s">
        <v>361</v>
      </c>
    </row>
    <row r="5" spans="2:14" ht="21" x14ac:dyDescent="0.4">
      <c r="B5" s="325" t="s">
        <v>364</v>
      </c>
      <c r="C5" s="330" t="s">
        <v>362</v>
      </c>
      <c r="D5" s="331">
        <v>2017</v>
      </c>
      <c r="E5" s="331">
        <v>2016</v>
      </c>
      <c r="F5" s="331">
        <v>2015</v>
      </c>
      <c r="G5" s="331">
        <v>2014</v>
      </c>
      <c r="H5" s="331">
        <v>2013</v>
      </c>
      <c r="I5" s="331">
        <v>2012</v>
      </c>
      <c r="J5" s="331">
        <v>2011</v>
      </c>
      <c r="K5" s="331">
        <v>2010</v>
      </c>
      <c r="L5" s="331">
        <v>2009</v>
      </c>
      <c r="M5" s="331">
        <v>2008</v>
      </c>
      <c r="N5" s="332"/>
    </row>
    <row r="6" spans="2:14" ht="21" x14ac:dyDescent="0.4">
      <c r="B6" s="326" t="s">
        <v>365</v>
      </c>
      <c r="C6" s="330" t="s">
        <v>366</v>
      </c>
      <c r="D6" s="331">
        <v>2017</v>
      </c>
      <c r="E6" s="332"/>
      <c r="F6" s="332"/>
      <c r="G6" s="332"/>
      <c r="H6" s="332"/>
      <c r="I6" s="332"/>
      <c r="J6" s="332"/>
      <c r="K6" s="331">
        <v>2010</v>
      </c>
      <c r="L6" s="332"/>
      <c r="M6" s="332"/>
      <c r="N6" s="332"/>
    </row>
    <row r="7" spans="2:14" ht="21" x14ac:dyDescent="0.4">
      <c r="B7" s="327" t="s">
        <v>367</v>
      </c>
      <c r="C7" s="329" t="s">
        <v>368</v>
      </c>
      <c r="D7" s="332"/>
      <c r="E7" s="332"/>
      <c r="F7" s="332"/>
      <c r="G7" s="332"/>
      <c r="H7" s="332"/>
      <c r="I7" s="332"/>
      <c r="J7" s="332"/>
      <c r="K7" s="332"/>
      <c r="L7" s="332"/>
      <c r="M7" s="332"/>
      <c r="N7" s="332"/>
    </row>
    <row r="8" spans="2:14" ht="21" x14ac:dyDescent="0.4">
      <c r="B8" s="327"/>
      <c r="C8" s="329" t="s">
        <v>523</v>
      </c>
      <c r="D8" s="332"/>
      <c r="E8" s="332"/>
      <c r="F8" s="332"/>
      <c r="G8" s="332"/>
      <c r="H8" s="332"/>
      <c r="I8" s="332"/>
      <c r="J8" s="332"/>
      <c r="K8" s="332"/>
      <c r="L8" s="332"/>
      <c r="M8" s="332"/>
      <c r="N8" s="332"/>
    </row>
    <row r="9" spans="2:14" ht="21" x14ac:dyDescent="0.4">
      <c r="B9" s="476" t="s">
        <v>369</v>
      </c>
      <c r="C9" s="330" t="s">
        <v>483</v>
      </c>
      <c r="D9" s="332"/>
      <c r="E9" s="332"/>
      <c r="F9" s="332"/>
      <c r="G9" s="332"/>
      <c r="H9" s="332"/>
      <c r="I9" s="332"/>
      <c r="J9" s="332"/>
      <c r="K9" s="332"/>
      <c r="L9" s="332"/>
      <c r="M9" s="332"/>
      <c r="N9" s="332"/>
    </row>
    <row r="10" spans="2:14" ht="21" x14ac:dyDescent="0.4">
      <c r="B10" s="476"/>
      <c r="C10" s="329" t="s">
        <v>484</v>
      </c>
      <c r="D10" s="332"/>
      <c r="E10" s="332"/>
      <c r="F10" s="332"/>
      <c r="G10" s="332"/>
      <c r="H10" s="332"/>
      <c r="I10" s="332"/>
      <c r="J10" s="332"/>
      <c r="K10" s="332"/>
      <c r="L10" s="332"/>
      <c r="M10" s="332"/>
      <c r="N10" s="332"/>
    </row>
    <row r="11" spans="2:14" ht="21" x14ac:dyDescent="0.4">
      <c r="B11" s="476"/>
      <c r="C11" s="329" t="s">
        <v>485</v>
      </c>
      <c r="D11" s="332"/>
      <c r="E11" s="332"/>
      <c r="F11" s="332"/>
      <c r="G11" s="332"/>
      <c r="H11" s="332"/>
      <c r="I11" s="332"/>
      <c r="J11" s="332"/>
      <c r="K11" s="332"/>
      <c r="L11" s="332"/>
      <c r="M11" s="332"/>
      <c r="N11" s="332"/>
    </row>
    <row r="12" spans="2:14" ht="21" x14ac:dyDescent="0.4">
      <c r="B12" s="476"/>
      <c r="C12" s="329" t="s">
        <v>486</v>
      </c>
      <c r="D12" s="332"/>
      <c r="E12" s="332"/>
      <c r="F12" s="332"/>
      <c r="G12" s="332"/>
      <c r="H12" s="332"/>
      <c r="I12" s="332"/>
      <c r="J12" s="332"/>
      <c r="K12" s="332"/>
      <c r="L12" s="332"/>
      <c r="M12" s="332"/>
      <c r="N12" s="332"/>
    </row>
    <row r="13" spans="2:14" ht="21" x14ac:dyDescent="0.4">
      <c r="B13" s="476"/>
      <c r="C13" s="329" t="s">
        <v>488</v>
      </c>
      <c r="D13" s="332"/>
      <c r="E13" s="332"/>
      <c r="F13" s="332"/>
      <c r="G13" s="332"/>
      <c r="H13" s="332"/>
      <c r="I13" s="332"/>
      <c r="J13" s="332"/>
      <c r="K13" s="332"/>
      <c r="L13" s="332"/>
      <c r="M13" s="332"/>
      <c r="N13" s="332"/>
    </row>
    <row r="14" spans="2:14" ht="21" x14ac:dyDescent="0.4">
      <c r="B14" s="328" t="s">
        <v>481</v>
      </c>
      <c r="C14" s="330" t="s">
        <v>370</v>
      </c>
    </row>
    <row r="15" spans="2:14" x14ac:dyDescent="0.3">
      <c r="C15" s="376" t="s">
        <v>376</v>
      </c>
    </row>
    <row r="16" spans="2:14" x14ac:dyDescent="0.3">
      <c r="C16" s="376" t="s">
        <v>399</v>
      </c>
    </row>
    <row r="17" spans="2:3" x14ac:dyDescent="0.3">
      <c r="C17" s="376" t="s">
        <v>374</v>
      </c>
    </row>
    <row r="18" spans="2:3" ht="21" x14ac:dyDescent="0.4">
      <c r="B18" s="328" t="s">
        <v>539</v>
      </c>
      <c r="C18" s="536" t="s">
        <v>538</v>
      </c>
    </row>
    <row r="19" spans="2:3" x14ac:dyDescent="0.3">
      <c r="B19" s="527"/>
    </row>
    <row r="20" spans="2:3" ht="21" x14ac:dyDescent="0.4">
      <c r="B20" s="580" t="s">
        <v>552</v>
      </c>
      <c r="C20" s="581" t="s">
        <v>553</v>
      </c>
    </row>
  </sheetData>
  <hyperlinks>
    <hyperlink ref="C4" location="'Grid-EF'!A1" display="Grid emissions factors"/>
    <hyperlink ref="D5" location="OM_EF_2017!A1" display="OM_EF_2017!A1"/>
    <hyperlink ref="E5" location="OM_EF_2016!A1" display="OM_EF_2016!A1"/>
    <hyperlink ref="F5" location="OM_EF_2015!A1" display="OM_EF_2015!A1"/>
    <hyperlink ref="G5" location="OM_EF_2014!A1" display="OM_EF_2014!A1"/>
    <hyperlink ref="H5" location="OM_EF_2013!A1" display="OM_EF_2013!A1"/>
    <hyperlink ref="I5" location="OM_EF_2012!A1" display="OM_EF_2012!A1"/>
    <hyperlink ref="J5" location="OM_EF_2011!A1" display="OM_EF_2011!A1"/>
    <hyperlink ref="K5" location="OM_EF_2010!A1" display="OM_EF_2010!A1"/>
    <hyperlink ref="D6" location="BM_EF_2017!A1" display="BM_EF_2017!A1"/>
    <hyperlink ref="K6" location="BM_EF_2010!A1" display="BM_EF_2010!A1"/>
    <hyperlink ref="L5" location="OM_EF_2009!A1" display="OM_EF_2009!A1"/>
    <hyperlink ref="M5" location="OM_EF_2008!A1" display="OM_EF_2008!A1"/>
    <hyperlink ref="C7" location="'GHG-ER'!A1" display="Greenhouse gas emissions reductions"/>
    <hyperlink ref="C15" location="Leakage_EF_2010!A1" display="Natural gas upstream emissions"/>
    <hyperlink ref="C16" location="Unit_EF_2008!A1" display="Units emissions factors 2008"/>
    <hyperlink ref="C17" location="References!A1" display="References"/>
    <hyperlink ref="C10" location="Scenario_Current_Demand!A1" display="Current electricity demand"/>
    <hyperlink ref="C11" location="Scenario_NDC!A1" display="Nationally determined contribution"/>
    <hyperlink ref="C12" location="'Scenario_100%_RE'!A1" display="100% renewables"/>
    <hyperlink ref="C13" location="Graphs!A1" display="Graphs"/>
    <hyperlink ref="C8" location="'GHG-ER-SC-&gt;CC'!A1" display="Greenhouse gas emissions reductions - combined cycle"/>
    <hyperlink ref="C18" location="Investment!A1" display="Investment"/>
    <hyperlink ref="C20" location="'Levelized Cost'!A1" display="Levelized Cost"/>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J142"/>
  <sheetViews>
    <sheetView topLeftCell="A13" zoomScaleNormal="100" workbookViewId="0"/>
  </sheetViews>
  <sheetFormatPr baseColWidth="10" defaultColWidth="9.109375" defaultRowHeight="14.4" x14ac:dyDescent="0.3"/>
  <cols>
    <col min="1" max="1" width="9.109375" style="1"/>
    <col min="2" max="2" width="45.6640625" style="1" customWidth="1"/>
    <col min="3" max="3" width="13.5546875" style="1" customWidth="1"/>
    <col min="4" max="5" width="11.109375" style="1" customWidth="1"/>
    <col min="6" max="6" width="14.44140625" style="1" customWidth="1"/>
    <col min="7" max="7" width="15.33203125" style="1" customWidth="1"/>
    <col min="8" max="8" width="16.88671875" style="1" customWidth="1"/>
    <col min="9" max="16384" width="9.109375" style="1"/>
  </cols>
  <sheetData>
    <row r="3" spans="2:10" ht="23.4" x14ac:dyDescent="0.45">
      <c r="B3" s="286" t="s">
        <v>356</v>
      </c>
      <c r="D3" s="286">
        <v>2010</v>
      </c>
    </row>
    <row r="4" spans="2:10" x14ac:dyDescent="0.3">
      <c r="G4" s="9"/>
      <c r="H4" s="9"/>
      <c r="I4" s="9"/>
      <c r="J4" s="9"/>
    </row>
    <row r="5" spans="2:10" x14ac:dyDescent="0.3">
      <c r="G5" s="9"/>
      <c r="H5" s="9"/>
      <c r="I5" s="9"/>
      <c r="J5" s="9"/>
    </row>
    <row r="6" spans="2:10" x14ac:dyDescent="0.3">
      <c r="B6" s="86" t="s">
        <v>160</v>
      </c>
      <c r="C6" s="87">
        <f>+C7+C9</f>
        <v>6085440.8650679979</v>
      </c>
      <c r="D6" s="32"/>
      <c r="E6" s="32"/>
      <c r="F6" s="32"/>
      <c r="G6" s="32"/>
      <c r="H6" s="9"/>
      <c r="I6" s="9"/>
      <c r="J6" s="9"/>
    </row>
    <row r="7" spans="2:10" x14ac:dyDescent="0.3">
      <c r="B7" s="88" t="s">
        <v>161</v>
      </c>
      <c r="C7" s="90">
        <f>+C74+C140</f>
        <v>2209585.150035846</v>
      </c>
      <c r="D7" s="98"/>
      <c r="E7" s="98"/>
      <c r="F7" s="98"/>
      <c r="G7" s="32"/>
      <c r="H7" s="9"/>
      <c r="I7" s="9"/>
      <c r="J7" s="9"/>
    </row>
    <row r="8" spans="2:10" x14ac:dyDescent="0.3">
      <c r="B8" s="88" t="s">
        <v>76</v>
      </c>
      <c r="C8" s="91">
        <f>+C7/C6</f>
        <v>0.36309368524463614</v>
      </c>
      <c r="D8" s="94"/>
      <c r="E8" s="94"/>
      <c r="F8" s="94"/>
      <c r="G8" s="32"/>
      <c r="H8" s="9"/>
      <c r="I8" s="9"/>
      <c r="J8" s="9"/>
    </row>
    <row r="9" spans="2:10" x14ac:dyDescent="0.3">
      <c r="B9" s="88" t="s">
        <v>162</v>
      </c>
      <c r="C9" s="90">
        <f>+C23</f>
        <v>3875855.7150321514</v>
      </c>
      <c r="D9" s="98"/>
      <c r="E9" s="98"/>
      <c r="F9" s="98"/>
      <c r="G9" s="32"/>
      <c r="H9" s="9"/>
      <c r="I9" s="9"/>
      <c r="J9" s="9"/>
    </row>
    <row r="10" spans="2:10" x14ac:dyDescent="0.3">
      <c r="B10" s="89" t="s">
        <v>77</v>
      </c>
      <c r="C10" s="92">
        <f>+C9/C6</f>
        <v>0.63690631475536374</v>
      </c>
      <c r="D10" s="94"/>
      <c r="E10" s="94"/>
      <c r="F10" s="94"/>
      <c r="G10" s="33"/>
      <c r="H10" s="9"/>
      <c r="I10" s="9"/>
      <c r="J10" s="9"/>
    </row>
    <row r="11" spans="2:10" x14ac:dyDescent="0.3">
      <c r="B11" s="93"/>
      <c r="C11" s="94"/>
      <c r="D11" s="94"/>
      <c r="E11" s="94"/>
      <c r="F11" s="94"/>
      <c r="G11" s="33"/>
      <c r="H11" s="9"/>
      <c r="I11" s="9"/>
      <c r="J11" s="9"/>
    </row>
    <row r="12" spans="2:10" x14ac:dyDescent="0.3">
      <c r="B12" s="86" t="s">
        <v>273</v>
      </c>
      <c r="C12" s="174"/>
      <c r="D12" s="94"/>
      <c r="E12" s="94"/>
      <c r="F12" s="94"/>
      <c r="G12" s="33"/>
      <c r="H12" s="9"/>
      <c r="I12" s="9"/>
      <c r="J12" s="9"/>
    </row>
    <row r="13" spans="2:10" x14ac:dyDescent="0.3">
      <c r="B13" s="178" t="s">
        <v>115</v>
      </c>
      <c r="C13" s="175">
        <v>3412.14</v>
      </c>
      <c r="D13" s="94"/>
      <c r="E13" s="94"/>
      <c r="F13" s="94"/>
      <c r="G13" s="33"/>
      <c r="H13" s="9"/>
      <c r="I13" s="9"/>
      <c r="J13" s="9"/>
    </row>
    <row r="14" spans="2:10" ht="15.6" x14ac:dyDescent="0.3">
      <c r="B14" s="178" t="s">
        <v>272</v>
      </c>
      <c r="C14" s="176">
        <v>5.6099999999999997E-2</v>
      </c>
      <c r="D14" s="94"/>
      <c r="E14" s="94"/>
      <c r="F14" s="94"/>
      <c r="G14" s="33"/>
      <c r="H14" s="9"/>
      <c r="I14" s="9"/>
      <c r="J14" s="9"/>
    </row>
    <row r="15" spans="2:10" ht="14.25" customHeight="1" x14ac:dyDescent="0.3">
      <c r="B15" s="179" t="s">
        <v>116</v>
      </c>
      <c r="C15" s="177">
        <v>3.6</v>
      </c>
      <c r="D15" s="94"/>
      <c r="E15" s="94"/>
      <c r="F15" s="94"/>
      <c r="G15" s="33"/>
      <c r="H15" s="9"/>
      <c r="I15" s="9"/>
      <c r="J15" s="9"/>
    </row>
    <row r="16" spans="2:10" ht="15" thickBot="1" x14ac:dyDescent="0.35">
      <c r="B16" s="93"/>
      <c r="C16" s="94"/>
      <c r="D16" s="94"/>
      <c r="E16" s="94"/>
      <c r="F16" s="94"/>
      <c r="G16" s="33"/>
      <c r="H16" s="9"/>
      <c r="I16" s="9"/>
      <c r="J16" s="9"/>
    </row>
    <row r="17" spans="2:10" ht="16.2" thickBot="1" x14ac:dyDescent="0.4">
      <c r="B17" s="96" t="s">
        <v>171</v>
      </c>
      <c r="C17" s="97">
        <f>+H23/C6</f>
        <v>0.3890598651268462</v>
      </c>
      <c r="D17" s="95"/>
      <c r="E17" s="95"/>
      <c r="F17" s="95"/>
      <c r="G17" s="33"/>
      <c r="H17" s="9"/>
      <c r="I17" s="9"/>
      <c r="J17" s="9"/>
    </row>
    <row r="18" spans="2:10" ht="15" thickBot="1" x14ac:dyDescent="0.35">
      <c r="B18" s="93"/>
      <c r="C18" s="95"/>
      <c r="D18" s="95"/>
      <c r="E18" s="95"/>
      <c r="F18" s="95"/>
      <c r="G18" s="33"/>
      <c r="H18" s="9"/>
      <c r="I18" s="9"/>
      <c r="J18" s="9"/>
    </row>
    <row r="19" spans="2:10" ht="16.2" thickBot="1" x14ac:dyDescent="0.4">
      <c r="B19" s="96" t="s">
        <v>171</v>
      </c>
      <c r="C19" s="97">
        <f>+H23/C9</f>
        <v>0.61085885963665543</v>
      </c>
      <c r="D19" s="95"/>
      <c r="E19" s="95"/>
      <c r="F19" s="95"/>
      <c r="G19" s="33"/>
      <c r="H19" s="9"/>
      <c r="I19" s="9"/>
      <c r="J19" s="9"/>
    </row>
    <row r="20" spans="2:10" x14ac:dyDescent="0.3">
      <c r="B20" s="93"/>
      <c r="C20" s="95"/>
      <c r="D20" s="95"/>
      <c r="E20" s="95"/>
      <c r="F20" s="95"/>
      <c r="G20" s="33"/>
      <c r="H20" s="9"/>
      <c r="I20" s="9"/>
      <c r="J20" s="9"/>
    </row>
    <row r="21" spans="2:10" x14ac:dyDescent="0.3">
      <c r="B21" s="93"/>
      <c r="C21" s="95"/>
      <c r="D21" s="95"/>
      <c r="E21" s="95"/>
      <c r="F21" s="95"/>
      <c r="G21" s="33"/>
      <c r="H21" s="9"/>
      <c r="I21" s="9"/>
      <c r="J21" s="9"/>
    </row>
    <row r="22" spans="2:10" ht="33" customHeight="1" x14ac:dyDescent="0.35">
      <c r="B22" s="81" t="s">
        <v>163</v>
      </c>
      <c r="C22" s="79" t="s">
        <v>197</v>
      </c>
      <c r="D22" s="79" t="s">
        <v>168</v>
      </c>
      <c r="E22" s="79" t="s">
        <v>169</v>
      </c>
      <c r="F22" s="79" t="s">
        <v>170</v>
      </c>
      <c r="G22" s="79" t="s">
        <v>209</v>
      </c>
      <c r="H22" s="80" t="s">
        <v>208</v>
      </c>
    </row>
    <row r="23" spans="2:10" x14ac:dyDescent="0.3">
      <c r="B23" s="16" t="s">
        <v>15</v>
      </c>
      <c r="C23" s="58">
        <f>SUM(C24:C71)</f>
        <v>3875855.7150321514</v>
      </c>
      <c r="D23" s="58"/>
      <c r="E23" s="58"/>
      <c r="F23" s="58"/>
      <c r="G23" s="17"/>
      <c r="H23" s="74">
        <f>SUM(H24:H71)</f>
        <v>2367600.8022007537</v>
      </c>
    </row>
    <row r="24" spans="2:10" x14ac:dyDescent="0.3">
      <c r="B24" s="75" t="s">
        <v>19</v>
      </c>
      <c r="C24" s="61"/>
      <c r="D24" s="106">
        <f>+SUM(D25:D37)</f>
        <v>47</v>
      </c>
      <c r="E24" s="54">
        <f>SUMPRODUCT(D25:D37,E25:E37)/D24</f>
        <v>10354.489361702128</v>
      </c>
      <c r="F24" s="51">
        <f t="shared" ref="F24:F53" si="0">1/(E24/$C$13)</f>
        <v>0.32953242606249522</v>
      </c>
      <c r="G24" s="46">
        <f t="shared" ref="G24:G53" si="1">+$C$14*$C$15/F24</f>
        <v>0.61286836750231877</v>
      </c>
      <c r="H24" s="65">
        <f>+G24*C24</f>
        <v>0</v>
      </c>
    </row>
    <row r="25" spans="2:10" x14ac:dyDescent="0.3">
      <c r="B25" s="76" t="s">
        <v>87</v>
      </c>
      <c r="C25" s="49">
        <v>0</v>
      </c>
      <c r="D25" s="50">
        <v>3</v>
      </c>
      <c r="E25" s="49">
        <v>10201</v>
      </c>
      <c r="F25" s="55">
        <f t="shared" si="0"/>
        <v>0.33449073620233311</v>
      </c>
      <c r="G25" s="59">
        <f t="shared" si="1"/>
        <v>0.60378353760396697</v>
      </c>
      <c r="H25" s="60">
        <f>+G25*C25</f>
        <v>0</v>
      </c>
    </row>
    <row r="26" spans="2:10" x14ac:dyDescent="0.3">
      <c r="B26" s="76" t="s">
        <v>88</v>
      </c>
      <c r="C26" s="49">
        <v>7078.1761228214964</v>
      </c>
      <c r="D26" s="50">
        <v>3</v>
      </c>
      <c r="E26" s="49">
        <v>10201</v>
      </c>
      <c r="F26" s="55">
        <f t="shared" si="0"/>
        <v>0.33449073620233311</v>
      </c>
      <c r="G26" s="59">
        <f t="shared" si="1"/>
        <v>0.60378353760396697</v>
      </c>
      <c r="H26" s="60">
        <f t="shared" ref="H26:H37" si="2">+G26*C26</f>
        <v>4273.6862192210938</v>
      </c>
    </row>
    <row r="27" spans="2:10" x14ac:dyDescent="0.3">
      <c r="B27" s="76" t="s">
        <v>89</v>
      </c>
      <c r="C27" s="49">
        <v>6933.803202000001</v>
      </c>
      <c r="D27" s="50">
        <v>3</v>
      </c>
      <c r="E27" s="49">
        <v>10201</v>
      </c>
      <c r="F27" s="55">
        <f t="shared" si="0"/>
        <v>0.33449073620233311</v>
      </c>
      <c r="G27" s="59">
        <f t="shared" si="1"/>
        <v>0.60378353760396697</v>
      </c>
      <c r="H27" s="60">
        <f t="shared" si="2"/>
        <v>4186.5162263532739</v>
      </c>
    </row>
    <row r="28" spans="2:10" x14ac:dyDescent="0.3">
      <c r="B28" s="76" t="s">
        <v>90</v>
      </c>
      <c r="C28" s="49">
        <v>0</v>
      </c>
      <c r="D28" s="50">
        <v>3</v>
      </c>
      <c r="E28" s="49">
        <v>10201</v>
      </c>
      <c r="F28" s="55">
        <f t="shared" si="0"/>
        <v>0.33449073620233311</v>
      </c>
      <c r="G28" s="59">
        <f t="shared" si="1"/>
        <v>0.60378353760396697</v>
      </c>
      <c r="H28" s="60">
        <f t="shared" si="2"/>
        <v>0</v>
      </c>
    </row>
    <row r="29" spans="2:10" x14ac:dyDescent="0.3">
      <c r="B29" s="76" t="s">
        <v>91</v>
      </c>
      <c r="C29" s="49">
        <v>2.1599455000000001</v>
      </c>
      <c r="D29" s="50">
        <v>3</v>
      </c>
      <c r="E29" s="49">
        <v>10201</v>
      </c>
      <c r="F29" s="55">
        <f t="shared" si="0"/>
        <v>0.33449073620233311</v>
      </c>
      <c r="G29" s="59">
        <f t="shared" si="1"/>
        <v>0.60378353760396697</v>
      </c>
      <c r="H29" s="60">
        <f t="shared" si="2"/>
        <v>1.3041395350217693</v>
      </c>
    </row>
    <row r="30" spans="2:10" x14ac:dyDescent="0.3">
      <c r="B30" s="76" t="s">
        <v>92</v>
      </c>
      <c r="C30" s="49">
        <v>128803.56000000001</v>
      </c>
      <c r="D30" s="50">
        <v>18</v>
      </c>
      <c r="E30" s="49">
        <v>11497</v>
      </c>
      <c r="F30" s="55">
        <f t="shared" si="0"/>
        <v>0.29678524832565017</v>
      </c>
      <c r="G30" s="59">
        <f t="shared" si="1"/>
        <v>0.68049204311663647</v>
      </c>
      <c r="H30" s="60">
        <f t="shared" si="2"/>
        <v>87649.79770509628</v>
      </c>
    </row>
    <row r="31" spans="2:10" x14ac:dyDescent="0.3">
      <c r="B31" s="76" t="s">
        <v>93</v>
      </c>
      <c r="C31" s="49">
        <v>8515.6443321999977</v>
      </c>
      <c r="D31" s="50">
        <v>2</v>
      </c>
      <c r="E31" s="49">
        <v>9050</v>
      </c>
      <c r="F31" s="55">
        <f t="shared" si="0"/>
        <v>0.37703204419889497</v>
      </c>
      <c r="G31" s="59">
        <f t="shared" si="1"/>
        <v>0.53565738803214413</v>
      </c>
      <c r="H31" s="60">
        <f t="shared" si="2"/>
        <v>4561.467800396983</v>
      </c>
    </row>
    <row r="32" spans="2:10" x14ac:dyDescent="0.3">
      <c r="B32" s="76" t="s">
        <v>94</v>
      </c>
      <c r="C32" s="49">
        <v>5375.3301001449963</v>
      </c>
      <c r="D32" s="50">
        <v>2</v>
      </c>
      <c r="E32" s="49">
        <v>9050</v>
      </c>
      <c r="F32" s="55">
        <f t="shared" si="0"/>
        <v>0.37703204419889497</v>
      </c>
      <c r="G32" s="59">
        <f t="shared" si="1"/>
        <v>0.53565738803214413</v>
      </c>
      <c r="H32" s="60">
        <f t="shared" si="2"/>
        <v>2879.3352812542325</v>
      </c>
    </row>
    <row r="33" spans="2:8" x14ac:dyDescent="0.3">
      <c r="B33" s="76" t="s">
        <v>95</v>
      </c>
      <c r="C33" s="49">
        <v>5023.2107812749982</v>
      </c>
      <c r="D33" s="50">
        <v>2</v>
      </c>
      <c r="E33" s="49">
        <v>9050</v>
      </c>
      <c r="F33" s="55">
        <f t="shared" si="0"/>
        <v>0.37703204419889497</v>
      </c>
      <c r="G33" s="59">
        <f t="shared" si="1"/>
        <v>0.53565738803214413</v>
      </c>
      <c r="H33" s="60">
        <f t="shared" si="2"/>
        <v>2690.7199666326715</v>
      </c>
    </row>
    <row r="34" spans="2:8" x14ac:dyDescent="0.3">
      <c r="B34" s="76" t="s">
        <v>96</v>
      </c>
      <c r="C34" s="49">
        <v>2147.3923148100002</v>
      </c>
      <c r="D34" s="50">
        <v>2</v>
      </c>
      <c r="E34" s="49">
        <v>9050</v>
      </c>
      <c r="F34" s="55">
        <f t="shared" si="0"/>
        <v>0.37703204419889497</v>
      </c>
      <c r="G34" s="59">
        <f t="shared" si="1"/>
        <v>0.53565738803214413</v>
      </c>
      <c r="H34" s="60">
        <f t="shared" si="2"/>
        <v>1150.2665584314245</v>
      </c>
    </row>
    <row r="35" spans="2:8" x14ac:dyDescent="0.3">
      <c r="B35" s="76" t="s">
        <v>97</v>
      </c>
      <c r="C35" s="49">
        <v>8526.9006409999947</v>
      </c>
      <c r="D35" s="50">
        <v>2</v>
      </c>
      <c r="E35" s="49">
        <v>9050</v>
      </c>
      <c r="F35" s="55">
        <f t="shared" si="0"/>
        <v>0.37703204419889497</v>
      </c>
      <c r="G35" s="59">
        <f t="shared" si="1"/>
        <v>0.53565738803214413</v>
      </c>
      <c r="H35" s="60">
        <f t="shared" si="2"/>
        <v>4567.4973253676726</v>
      </c>
    </row>
    <row r="36" spans="2:8" x14ac:dyDescent="0.3">
      <c r="B36" s="76" t="s">
        <v>98</v>
      </c>
      <c r="C36" s="53">
        <v>7797.8255404000083</v>
      </c>
      <c r="D36" s="50">
        <v>2</v>
      </c>
      <c r="E36" s="49">
        <v>9050</v>
      </c>
      <c r="F36" s="55">
        <f t="shared" si="0"/>
        <v>0.37703204419889497</v>
      </c>
      <c r="G36" s="59">
        <f t="shared" si="1"/>
        <v>0.53565738803214413</v>
      </c>
      <c r="H36" s="60">
        <f t="shared" si="2"/>
        <v>4176.9628613010109</v>
      </c>
    </row>
    <row r="37" spans="2:8" x14ac:dyDescent="0.3">
      <c r="B37" s="76" t="s">
        <v>99</v>
      </c>
      <c r="C37" s="49">
        <v>0</v>
      </c>
      <c r="D37" s="50">
        <v>2</v>
      </c>
      <c r="E37" s="49">
        <v>9050</v>
      </c>
      <c r="F37" s="56">
        <f t="shared" si="0"/>
        <v>0.37703204419889497</v>
      </c>
      <c r="G37" s="59">
        <f t="shared" si="1"/>
        <v>0.53565738803214413</v>
      </c>
      <c r="H37" s="60">
        <f t="shared" si="2"/>
        <v>0</v>
      </c>
    </row>
    <row r="38" spans="2:8" x14ac:dyDescent="0.3">
      <c r="B38" s="77" t="s">
        <v>20</v>
      </c>
      <c r="C38" s="61"/>
      <c r="D38" s="107">
        <f>+SUM(D39:D40)</f>
        <v>90</v>
      </c>
      <c r="E38" s="44">
        <f>SUMPRODUCT(D39:D40,E39:E40)/D38</f>
        <v>8696</v>
      </c>
      <c r="F38" s="51">
        <f t="shared" si="0"/>
        <v>0.39238040478380859</v>
      </c>
      <c r="G38" s="46">
        <f t="shared" si="1"/>
        <v>0.51470460180414646</v>
      </c>
      <c r="H38" s="65">
        <f>+G38*C38</f>
        <v>0</v>
      </c>
    </row>
    <row r="39" spans="2:8" x14ac:dyDescent="0.3">
      <c r="B39" s="76" t="s">
        <v>113</v>
      </c>
      <c r="C39" s="49">
        <v>320717</v>
      </c>
      <c r="D39" s="50">
        <v>45</v>
      </c>
      <c r="E39" s="49">
        <v>8455</v>
      </c>
      <c r="F39" s="55">
        <f t="shared" si="0"/>
        <v>0.40356475458308694</v>
      </c>
      <c r="G39" s="59">
        <f t="shared" si="1"/>
        <v>0.50044013434384282</v>
      </c>
      <c r="H39" s="60">
        <f t="shared" ref="H39:H40" si="3">+G39*C39</f>
        <v>160499.65856635425</v>
      </c>
    </row>
    <row r="40" spans="2:8" x14ac:dyDescent="0.3">
      <c r="B40" s="76" t="s">
        <v>114</v>
      </c>
      <c r="C40" s="49">
        <v>331746</v>
      </c>
      <c r="D40" s="50">
        <v>45</v>
      </c>
      <c r="E40" s="49">
        <v>8937</v>
      </c>
      <c r="F40" s="56">
        <f t="shared" si="0"/>
        <v>0.38179926149714666</v>
      </c>
      <c r="G40" s="59">
        <f t="shared" si="1"/>
        <v>0.52896906926444998</v>
      </c>
      <c r="H40" s="60">
        <f t="shared" si="3"/>
        <v>175483.37285220422</v>
      </c>
    </row>
    <row r="41" spans="2:8" x14ac:dyDescent="0.3">
      <c r="B41" s="77" t="s">
        <v>18</v>
      </c>
      <c r="C41" s="44">
        <v>743118.82019999996</v>
      </c>
      <c r="D41" s="107">
        <f>+SUM(D42:D43)</f>
        <v>112</v>
      </c>
      <c r="E41" s="44">
        <f>SUMPRODUCT(D42:D43,E42:E43)/D41</f>
        <v>9830</v>
      </c>
      <c r="F41" s="51">
        <f t="shared" si="0"/>
        <v>0.34711495422177008</v>
      </c>
      <c r="G41" s="46">
        <f t="shared" si="1"/>
        <v>0.58182454412773221</v>
      </c>
      <c r="H41" s="101">
        <f>+G41*C41</f>
        <v>432364.76879560319</v>
      </c>
    </row>
    <row r="42" spans="2:8" x14ac:dyDescent="0.3">
      <c r="B42" s="76" t="s">
        <v>105</v>
      </c>
      <c r="C42" s="49"/>
      <c r="D42" s="50">
        <v>56</v>
      </c>
      <c r="E42" s="49">
        <v>9830</v>
      </c>
      <c r="F42" s="55">
        <f t="shared" si="0"/>
        <v>0.34711495422177008</v>
      </c>
      <c r="G42" s="59">
        <f t="shared" si="1"/>
        <v>0.58182454412773221</v>
      </c>
      <c r="H42" s="60"/>
    </row>
    <row r="43" spans="2:8" x14ac:dyDescent="0.3">
      <c r="B43" s="76" t="s">
        <v>106</v>
      </c>
      <c r="C43" s="53"/>
      <c r="D43" s="50">
        <v>56</v>
      </c>
      <c r="E43" s="49">
        <v>9830</v>
      </c>
      <c r="F43" s="55">
        <f t="shared" si="0"/>
        <v>0.34711495422177008</v>
      </c>
      <c r="G43" s="59">
        <f t="shared" si="1"/>
        <v>0.58182454412773221</v>
      </c>
      <c r="H43" s="71"/>
    </row>
    <row r="44" spans="2:8" x14ac:dyDescent="0.3">
      <c r="B44" s="77" t="s">
        <v>23</v>
      </c>
      <c r="C44" s="44"/>
      <c r="D44" s="107">
        <f>+SUM(D45:D46)</f>
        <v>46</v>
      </c>
      <c r="E44" s="44">
        <f>SUMPRODUCT(D45:D46,E45:E46)/D44</f>
        <v>10103.5</v>
      </c>
      <c r="F44" s="51">
        <f t="shared" si="0"/>
        <v>0.33771861236205275</v>
      </c>
      <c r="G44" s="46">
        <f t="shared" si="1"/>
        <v>0.59801264309201851</v>
      </c>
      <c r="H44" s="101">
        <f>+G44*C44</f>
        <v>0</v>
      </c>
    </row>
    <row r="45" spans="2:8" x14ac:dyDescent="0.3">
      <c r="B45" s="76" t="s">
        <v>107</v>
      </c>
      <c r="C45" s="53">
        <v>94768</v>
      </c>
      <c r="D45" s="50">
        <v>23</v>
      </c>
      <c r="E45" s="49">
        <v>10157</v>
      </c>
      <c r="F45" s="55">
        <f t="shared" si="0"/>
        <v>0.33593974598798854</v>
      </c>
      <c r="G45" s="59">
        <f t="shared" si="1"/>
        <v>0.60117923649088267</v>
      </c>
      <c r="H45" s="60">
        <f t="shared" ref="H45:H48" si="4">+G45*C45</f>
        <v>56972.553883767971</v>
      </c>
    </row>
    <row r="46" spans="2:8" x14ac:dyDescent="0.3">
      <c r="B46" s="76" t="s">
        <v>108</v>
      </c>
      <c r="C46" s="53">
        <v>123773.2823375</v>
      </c>
      <c r="D46" s="50">
        <v>23</v>
      </c>
      <c r="E46" s="49">
        <v>10050</v>
      </c>
      <c r="F46" s="55">
        <f t="shared" si="0"/>
        <v>0.33951641791044773</v>
      </c>
      <c r="G46" s="59">
        <f t="shared" si="1"/>
        <v>0.59484604969315447</v>
      </c>
      <c r="H46" s="60">
        <f t="shared" si="4"/>
        <v>73626.04805601736</v>
      </c>
    </row>
    <row r="47" spans="2:8" x14ac:dyDescent="0.3">
      <c r="B47" s="76" t="s">
        <v>109</v>
      </c>
      <c r="C47" s="53">
        <v>109541.1267625</v>
      </c>
      <c r="D47" s="50">
        <v>25</v>
      </c>
      <c r="E47" s="49">
        <v>10060</v>
      </c>
      <c r="F47" s="55">
        <f t="shared" si="0"/>
        <v>0.33917892644135184</v>
      </c>
      <c r="G47" s="59">
        <f t="shared" si="1"/>
        <v>0.5954379363097646</v>
      </c>
      <c r="H47" s="60">
        <f t="shared" si="4"/>
        <v>65224.94246050933</v>
      </c>
    </row>
    <row r="48" spans="2:8" x14ac:dyDescent="0.3">
      <c r="B48" s="76" t="s">
        <v>110</v>
      </c>
      <c r="C48" s="53">
        <v>77401.001000000004</v>
      </c>
      <c r="D48" s="50">
        <v>25</v>
      </c>
      <c r="E48" s="49">
        <v>10033</v>
      </c>
      <c r="F48" s="55">
        <f t="shared" si="0"/>
        <v>0.34009169739858464</v>
      </c>
      <c r="G48" s="59">
        <f t="shared" si="1"/>
        <v>0.59383984244491728</v>
      </c>
      <c r="H48" s="60">
        <f t="shared" si="4"/>
        <v>45963.798238918884</v>
      </c>
    </row>
    <row r="49" spans="2:8" x14ac:dyDescent="0.3">
      <c r="B49" s="77" t="s">
        <v>16</v>
      </c>
      <c r="C49" s="61"/>
      <c r="D49" s="107">
        <f>+SUM(D50:D58)</f>
        <v>272</v>
      </c>
      <c r="E49" s="44">
        <f>SUMPRODUCT(D50:D58,E50:E58)/D49</f>
        <v>10811.382352941177</v>
      </c>
      <c r="F49" s="51">
        <f t="shared" si="0"/>
        <v>0.31560626463939145</v>
      </c>
      <c r="G49" s="46">
        <f t="shared" si="1"/>
        <v>0.63991125217605382</v>
      </c>
      <c r="H49" s="65">
        <f>+G49*C49</f>
        <v>0</v>
      </c>
    </row>
    <row r="50" spans="2:8" x14ac:dyDescent="0.3">
      <c r="B50" s="76" t="s">
        <v>78</v>
      </c>
      <c r="C50" s="49">
        <v>54977.579999999987</v>
      </c>
      <c r="D50" s="50">
        <v>22</v>
      </c>
      <c r="E50" s="49">
        <v>11971</v>
      </c>
      <c r="F50" s="55">
        <f t="shared" si="0"/>
        <v>0.2850338317600869</v>
      </c>
      <c r="G50" s="59">
        <f t="shared" si="1"/>
        <v>0.70854746874395536</v>
      </c>
      <c r="H50" s="60">
        <f t="shared" ref="H50:H58" si="5">+G50*C50</f>
        <v>38954.225146668294</v>
      </c>
    </row>
    <row r="51" spans="2:8" x14ac:dyDescent="0.3">
      <c r="B51" s="76" t="s">
        <v>79</v>
      </c>
      <c r="C51" s="49">
        <v>44343.569999999992</v>
      </c>
      <c r="D51" s="50">
        <v>20</v>
      </c>
      <c r="E51" s="49">
        <v>12595</v>
      </c>
      <c r="F51" s="55">
        <f t="shared" si="0"/>
        <v>0.27091226677252878</v>
      </c>
      <c r="G51" s="59">
        <f t="shared" si="1"/>
        <v>0.74548119362042586</v>
      </c>
      <c r="H51" s="60">
        <f t="shared" si="5"/>
        <v>33057.297492990903</v>
      </c>
    </row>
    <row r="52" spans="2:8" x14ac:dyDescent="0.3">
      <c r="B52" s="76" t="s">
        <v>80</v>
      </c>
      <c r="C52" s="49">
        <v>35434.590000000004</v>
      </c>
      <c r="D52" s="50">
        <v>20</v>
      </c>
      <c r="E52" s="49">
        <v>12834</v>
      </c>
      <c r="F52" s="55">
        <f t="shared" si="0"/>
        <v>0.26586722767648435</v>
      </c>
      <c r="G52" s="59">
        <f t="shared" si="1"/>
        <v>0.75962728375740729</v>
      </c>
      <c r="H52" s="60">
        <f t="shared" si="5"/>
        <v>26917.081352757388</v>
      </c>
    </row>
    <row r="53" spans="2:8" x14ac:dyDescent="0.3">
      <c r="B53" s="76" t="s">
        <v>81</v>
      </c>
      <c r="C53" s="49">
        <v>47583.179999999993</v>
      </c>
      <c r="D53" s="50">
        <v>21</v>
      </c>
      <c r="E53" s="49">
        <v>12644</v>
      </c>
      <c r="F53" s="56">
        <f t="shared" si="0"/>
        <v>0.26986238532110091</v>
      </c>
      <c r="G53" s="59">
        <f t="shared" si="1"/>
        <v>0.74838143804181545</v>
      </c>
      <c r="H53" s="60">
        <f t="shared" si="5"/>
        <v>35610.368675002544</v>
      </c>
    </row>
    <row r="54" spans="2:8" x14ac:dyDescent="0.3">
      <c r="B54" s="76" t="s">
        <v>118</v>
      </c>
      <c r="C54" s="66"/>
      <c r="D54" s="105"/>
      <c r="E54" s="29"/>
      <c r="F54" s="41"/>
      <c r="G54" s="35"/>
      <c r="H54" s="67"/>
    </row>
    <row r="55" spans="2:8" x14ac:dyDescent="0.3">
      <c r="B55" s="76" t="s">
        <v>119</v>
      </c>
      <c r="C55" s="70"/>
      <c r="D55" s="42"/>
      <c r="E55" s="43"/>
      <c r="F55" s="104"/>
      <c r="G55" s="73"/>
      <c r="H55" s="71"/>
    </row>
    <row r="56" spans="2:8" x14ac:dyDescent="0.3">
      <c r="B56" s="76" t="s">
        <v>82</v>
      </c>
      <c r="C56" s="49">
        <v>304167.35200000001</v>
      </c>
      <c r="D56" s="50">
        <v>63</v>
      </c>
      <c r="E56" s="49">
        <v>10070</v>
      </c>
      <c r="F56" s="100">
        <f t="shared" ref="F56:F71" si="6">1/(E56/$C$13)</f>
        <v>0.33884210526315789</v>
      </c>
      <c r="G56" s="102">
        <f t="shared" ref="G56:G71" si="7">+$C$14*$C$15/F56</f>
        <v>0.59602982292637463</v>
      </c>
      <c r="H56" s="103">
        <f t="shared" si="5"/>
        <v>181292.81295254428</v>
      </c>
    </row>
    <row r="57" spans="2:8" x14ac:dyDescent="0.3">
      <c r="B57" s="76" t="s">
        <v>83</v>
      </c>
      <c r="C57" s="49">
        <v>274064.72799999994</v>
      </c>
      <c r="D57" s="50">
        <v>63</v>
      </c>
      <c r="E57" s="49">
        <v>10070</v>
      </c>
      <c r="F57" s="55">
        <f t="shared" si="6"/>
        <v>0.33884210526315789</v>
      </c>
      <c r="G57" s="59">
        <f t="shared" si="7"/>
        <v>0.59602982292637463</v>
      </c>
      <c r="H57" s="60">
        <f t="shared" si="5"/>
        <v>163350.75130020498</v>
      </c>
    </row>
    <row r="58" spans="2:8" x14ac:dyDescent="0.3">
      <c r="B58" s="76" t="s">
        <v>84</v>
      </c>
      <c r="C58" s="49">
        <v>386364.63308200007</v>
      </c>
      <c r="D58" s="50">
        <v>63</v>
      </c>
      <c r="E58" s="49">
        <v>10070</v>
      </c>
      <c r="F58" s="55">
        <f t="shared" si="6"/>
        <v>0.33884210526315789</v>
      </c>
      <c r="G58" s="59">
        <f t="shared" si="7"/>
        <v>0.59602982292637463</v>
      </c>
      <c r="H58" s="60">
        <f t="shared" si="5"/>
        <v>230284.84384087819</v>
      </c>
    </row>
    <row r="59" spans="2:8" x14ac:dyDescent="0.3">
      <c r="B59" s="77" t="s">
        <v>21</v>
      </c>
      <c r="C59" s="61"/>
      <c r="D59" s="107">
        <f>+D60</f>
        <v>14</v>
      </c>
      <c r="E59" s="44">
        <f>+E60</f>
        <v>11860</v>
      </c>
      <c r="F59" s="51">
        <f t="shared" si="6"/>
        <v>0.2877015177065767</v>
      </c>
      <c r="G59" s="46">
        <f t="shared" si="7"/>
        <v>0.70197752729958329</v>
      </c>
      <c r="H59" s="65">
        <f>+G59*C59</f>
        <v>0</v>
      </c>
    </row>
    <row r="60" spans="2:8" x14ac:dyDescent="0.3">
      <c r="B60" s="76" t="s">
        <v>100</v>
      </c>
      <c r="C60" s="49">
        <v>80691.735044999994</v>
      </c>
      <c r="D60" s="50">
        <v>14</v>
      </c>
      <c r="E60" s="49">
        <v>11860</v>
      </c>
      <c r="F60" s="55">
        <f t="shared" si="6"/>
        <v>0.2877015177065767</v>
      </c>
      <c r="G60" s="59">
        <f t="shared" si="7"/>
        <v>0.70197752729958329</v>
      </c>
      <c r="H60" s="60">
        <f t="shared" ref="H60" si="8">+G60*C60</f>
        <v>56643.784640402228</v>
      </c>
    </row>
    <row r="61" spans="2:8" x14ac:dyDescent="0.3">
      <c r="B61" s="77" t="s">
        <v>22</v>
      </c>
      <c r="C61" s="61"/>
      <c r="D61" s="107">
        <f>+SUM(D62:D63)</f>
        <v>18</v>
      </c>
      <c r="E61" s="44">
        <f>SUMPRODUCT(D62:D63,E62:E63)/D61</f>
        <v>12145</v>
      </c>
      <c r="F61" s="51">
        <f t="shared" si="6"/>
        <v>0.28095018526142446</v>
      </c>
      <c r="G61" s="46">
        <f t="shared" si="7"/>
        <v>0.71884629587297122</v>
      </c>
      <c r="H61" s="65">
        <f>+G61*C61</f>
        <v>0</v>
      </c>
    </row>
    <row r="62" spans="2:8" x14ac:dyDescent="0.3">
      <c r="B62" s="76" t="s">
        <v>111</v>
      </c>
      <c r="C62" s="49">
        <v>46977.265625</v>
      </c>
      <c r="D62" s="50">
        <v>9</v>
      </c>
      <c r="E62" s="49">
        <v>12145</v>
      </c>
      <c r="F62" s="55">
        <f t="shared" si="6"/>
        <v>0.28095018526142446</v>
      </c>
      <c r="G62" s="59">
        <f t="shared" si="7"/>
        <v>0.71884629587297122</v>
      </c>
      <c r="H62" s="60">
        <f t="shared" ref="H62:H63" si="9">+G62*C62</f>
        <v>33769.43338477191</v>
      </c>
    </row>
    <row r="63" spans="2:8" x14ac:dyDescent="0.3">
      <c r="B63" s="76" t="s">
        <v>112</v>
      </c>
      <c r="C63" s="49">
        <v>47451.323000000004</v>
      </c>
      <c r="D63" s="50">
        <v>9</v>
      </c>
      <c r="E63" s="49">
        <v>12145</v>
      </c>
      <c r="F63" s="55">
        <f t="shared" si="6"/>
        <v>0.28095018526142446</v>
      </c>
      <c r="G63" s="59">
        <f t="shared" si="7"/>
        <v>0.71884629587297122</v>
      </c>
      <c r="H63" s="60">
        <f t="shared" si="9"/>
        <v>34110.20777282193</v>
      </c>
    </row>
    <row r="64" spans="2:8" x14ac:dyDescent="0.3">
      <c r="B64" s="77" t="s">
        <v>17</v>
      </c>
      <c r="C64" s="61"/>
      <c r="D64" s="107">
        <f>+SUM(D65:D66)</f>
        <v>44</v>
      </c>
      <c r="E64" s="44">
        <f>SUMPRODUCT(D65:D66,E65:E66)/D64</f>
        <v>11761</v>
      </c>
      <c r="F64" s="51">
        <f t="shared" si="6"/>
        <v>0.29012328883598332</v>
      </c>
      <c r="G64" s="46">
        <f t="shared" si="7"/>
        <v>0.69611784979514324</v>
      </c>
      <c r="H64" s="65">
        <f>+G64*C64</f>
        <v>0</v>
      </c>
    </row>
    <row r="65" spans="2:8" x14ac:dyDescent="0.3">
      <c r="B65" s="76" t="s">
        <v>85</v>
      </c>
      <c r="C65" s="49">
        <v>73485.584999999992</v>
      </c>
      <c r="D65" s="50">
        <v>22</v>
      </c>
      <c r="E65" s="49">
        <v>11850</v>
      </c>
      <c r="F65" s="55">
        <f t="shared" si="6"/>
        <v>0.28794430379746838</v>
      </c>
      <c r="G65" s="59">
        <f t="shared" si="7"/>
        <v>0.70138564068297304</v>
      </c>
      <c r="H65" s="60">
        <f t="shared" ref="H65:H66" si="10">+G65*C65</f>
        <v>51541.734116188069</v>
      </c>
    </row>
    <row r="66" spans="2:8" x14ac:dyDescent="0.3">
      <c r="B66" s="76" t="s">
        <v>86</v>
      </c>
      <c r="C66" s="49">
        <v>86746.319999999992</v>
      </c>
      <c r="D66" s="50">
        <v>22</v>
      </c>
      <c r="E66" s="49">
        <v>11672</v>
      </c>
      <c r="F66" s="55">
        <f t="shared" si="6"/>
        <v>0.29233550376970524</v>
      </c>
      <c r="G66" s="59">
        <f t="shared" si="7"/>
        <v>0.69085005890731344</v>
      </c>
      <c r="H66" s="60">
        <f t="shared" si="10"/>
        <v>59928.700281992657</v>
      </c>
    </row>
    <row r="67" spans="2:8" x14ac:dyDescent="0.3">
      <c r="B67" s="77" t="s">
        <v>45</v>
      </c>
      <c r="C67" s="44">
        <v>412298.62000000005</v>
      </c>
      <c r="D67" s="107">
        <f>+SUM(D68:D71)</f>
        <v>72</v>
      </c>
      <c r="E67" s="44">
        <f>SUMPRODUCT(D68:D71,E68:E71)/D67</f>
        <v>12124</v>
      </c>
      <c r="F67" s="51">
        <f t="shared" si="6"/>
        <v>0.28143681953150773</v>
      </c>
      <c r="G67" s="46">
        <f t="shared" si="7"/>
        <v>0.71760333397809006</v>
      </c>
      <c r="H67" s="101">
        <f>+G67*C67</f>
        <v>295866.86430656567</v>
      </c>
    </row>
    <row r="68" spans="2:8" x14ac:dyDescent="0.3">
      <c r="B68" s="76" t="s">
        <v>101</v>
      </c>
      <c r="C68" s="49"/>
      <c r="D68" s="50">
        <v>18</v>
      </c>
      <c r="E68" s="49">
        <v>12124</v>
      </c>
      <c r="F68" s="55">
        <f t="shared" si="6"/>
        <v>0.28143681953150773</v>
      </c>
      <c r="G68" s="59">
        <f t="shared" si="7"/>
        <v>0.71760333397809006</v>
      </c>
      <c r="H68" s="60">
        <f t="shared" ref="H68:H71" si="11">+G68*C68</f>
        <v>0</v>
      </c>
    </row>
    <row r="69" spans="2:8" x14ac:dyDescent="0.3">
      <c r="B69" s="76" t="s">
        <v>102</v>
      </c>
      <c r="C69" s="49"/>
      <c r="D69" s="50">
        <v>18</v>
      </c>
      <c r="E69" s="49">
        <v>12124</v>
      </c>
      <c r="F69" s="55">
        <f t="shared" si="6"/>
        <v>0.28143681953150773</v>
      </c>
      <c r="G69" s="59">
        <f t="shared" si="7"/>
        <v>0.71760333397809006</v>
      </c>
      <c r="H69" s="60">
        <f t="shared" si="11"/>
        <v>0</v>
      </c>
    </row>
    <row r="70" spans="2:8" x14ac:dyDescent="0.3">
      <c r="B70" s="76" t="s">
        <v>103</v>
      </c>
      <c r="C70" s="49"/>
      <c r="D70" s="50">
        <v>18</v>
      </c>
      <c r="E70" s="49">
        <v>12124</v>
      </c>
      <c r="F70" s="55">
        <f t="shared" si="6"/>
        <v>0.28143681953150773</v>
      </c>
      <c r="G70" s="59">
        <f t="shared" si="7"/>
        <v>0.71760333397809006</v>
      </c>
      <c r="H70" s="60">
        <f t="shared" si="11"/>
        <v>0</v>
      </c>
    </row>
    <row r="71" spans="2:8" x14ac:dyDescent="0.3">
      <c r="B71" s="76" t="s">
        <v>104</v>
      </c>
      <c r="C71" s="53"/>
      <c r="D71" s="48">
        <v>18</v>
      </c>
      <c r="E71" s="49">
        <v>12124</v>
      </c>
      <c r="F71" s="56">
        <f t="shared" si="6"/>
        <v>0.28143681953150773</v>
      </c>
      <c r="G71" s="59">
        <f t="shared" si="7"/>
        <v>0.71760333397809006</v>
      </c>
      <c r="H71" s="60">
        <f t="shared" si="11"/>
        <v>0</v>
      </c>
    </row>
    <row r="72" spans="2:8" x14ac:dyDescent="0.3">
      <c r="B72" s="13"/>
      <c r="C72" s="4"/>
      <c r="D72" s="4"/>
      <c r="E72" s="4"/>
      <c r="F72" s="4"/>
      <c r="G72" s="4"/>
    </row>
    <row r="73" spans="2:8" ht="28.8" x14ac:dyDescent="0.3">
      <c r="B73" s="84" t="s">
        <v>164</v>
      </c>
      <c r="C73" s="79" t="s">
        <v>197</v>
      </c>
      <c r="D73" s="99"/>
      <c r="E73" s="99"/>
      <c r="F73" s="4"/>
      <c r="G73" s="99"/>
      <c r="H73" s="9"/>
    </row>
    <row r="74" spans="2:8" x14ac:dyDescent="0.3">
      <c r="B74" s="82" t="s">
        <v>0</v>
      </c>
      <c r="C74" s="83">
        <f>SUM(C75:C137)</f>
        <v>2151428.9800358461</v>
      </c>
      <c r="D74" s="31"/>
      <c r="E74" s="31"/>
      <c r="F74" s="9"/>
      <c r="G74" s="31"/>
      <c r="H74" s="9"/>
    </row>
    <row r="75" spans="2:8" x14ac:dyDescent="0.3">
      <c r="B75" s="57" t="s">
        <v>26</v>
      </c>
      <c r="C75" s="78"/>
      <c r="D75" s="30"/>
      <c r="E75" s="30"/>
      <c r="F75" s="4"/>
      <c r="G75" s="30"/>
      <c r="H75" s="9"/>
    </row>
    <row r="76" spans="2:8" x14ac:dyDescent="0.3">
      <c r="B76" s="47" t="s">
        <v>142</v>
      </c>
      <c r="C76" s="49">
        <v>9271.0999999999949</v>
      </c>
      <c r="D76" s="30"/>
      <c r="E76" s="30"/>
      <c r="F76" s="4"/>
      <c r="G76" s="30"/>
      <c r="H76" s="9"/>
    </row>
    <row r="77" spans="2:8" x14ac:dyDescent="0.3">
      <c r="B77" s="47" t="s">
        <v>143</v>
      </c>
      <c r="C77" s="49">
        <v>4843.4999999999982</v>
      </c>
      <c r="D77" s="30"/>
      <c r="E77" s="30"/>
      <c r="F77" s="4"/>
      <c r="G77" s="30"/>
      <c r="H77" s="9"/>
    </row>
    <row r="78" spans="2:8" x14ac:dyDescent="0.3">
      <c r="B78" s="47" t="s">
        <v>144</v>
      </c>
      <c r="C78" s="49">
        <v>5760.9160000000011</v>
      </c>
      <c r="D78" s="30"/>
      <c r="E78" s="30"/>
      <c r="F78" s="4"/>
      <c r="G78" s="30"/>
      <c r="H78" s="9"/>
    </row>
    <row r="79" spans="2:8" x14ac:dyDescent="0.3">
      <c r="B79" s="57" t="s">
        <v>27</v>
      </c>
      <c r="C79" s="78"/>
      <c r="D79" s="30"/>
      <c r="E79" s="30"/>
      <c r="F79" s="4"/>
      <c r="G79" s="30"/>
      <c r="H79" s="9"/>
    </row>
    <row r="80" spans="2:8" x14ac:dyDescent="0.3">
      <c r="B80" s="47" t="s">
        <v>125</v>
      </c>
      <c r="C80" s="49">
        <v>7849.8739999999998</v>
      </c>
      <c r="D80" s="30"/>
      <c r="E80" s="30"/>
      <c r="F80" s="4"/>
      <c r="G80" s="30"/>
      <c r="H80" s="9"/>
    </row>
    <row r="81" spans="2:8" x14ac:dyDescent="0.3">
      <c r="B81" s="47" t="s">
        <v>126</v>
      </c>
      <c r="C81" s="49">
        <v>6640.692</v>
      </c>
      <c r="D81" s="30"/>
      <c r="E81" s="30"/>
      <c r="F81" s="4"/>
      <c r="G81" s="30"/>
      <c r="H81" s="9"/>
    </row>
    <row r="82" spans="2:8" x14ac:dyDescent="0.3">
      <c r="B82" s="47" t="s">
        <v>127</v>
      </c>
      <c r="C82" s="49">
        <v>21561.253000000001</v>
      </c>
      <c r="D82" s="30"/>
      <c r="E82" s="30"/>
      <c r="F82" s="4"/>
      <c r="G82" s="30"/>
      <c r="H82" s="9"/>
    </row>
    <row r="83" spans="2:8" x14ac:dyDescent="0.3">
      <c r="B83" s="57" t="s">
        <v>28</v>
      </c>
      <c r="C83" s="78"/>
      <c r="D83" s="30"/>
      <c r="E83" s="30"/>
      <c r="F83" s="4"/>
      <c r="G83" s="30"/>
      <c r="H83" s="9"/>
    </row>
    <row r="84" spans="2:8" x14ac:dyDescent="0.3">
      <c r="B84" s="47" t="s">
        <v>156</v>
      </c>
      <c r="C84" s="49">
        <v>79039.576000000001</v>
      </c>
      <c r="D84" s="30"/>
      <c r="E84" s="30"/>
      <c r="F84" s="4"/>
      <c r="G84" s="30"/>
      <c r="H84" s="9"/>
    </row>
    <row r="85" spans="2:8" x14ac:dyDescent="0.3">
      <c r="B85" s="47" t="s">
        <v>157</v>
      </c>
      <c r="C85" s="49">
        <v>81435.836999999985</v>
      </c>
      <c r="D85" s="30"/>
      <c r="E85" s="30"/>
      <c r="F85" s="4"/>
      <c r="G85" s="30"/>
      <c r="H85" s="9"/>
    </row>
    <row r="86" spans="2:8" x14ac:dyDescent="0.3">
      <c r="B86" s="57" t="s">
        <v>32</v>
      </c>
      <c r="C86" s="78"/>
      <c r="D86" s="30"/>
      <c r="E86" s="30"/>
      <c r="F86" s="4"/>
      <c r="G86" s="30"/>
      <c r="H86" s="9"/>
    </row>
    <row r="87" spans="2:8" x14ac:dyDescent="0.3">
      <c r="B87" s="47" t="s">
        <v>148</v>
      </c>
      <c r="C87" s="49">
        <v>43231.955000000002</v>
      </c>
      <c r="D87" s="30"/>
      <c r="E87" s="30"/>
      <c r="F87" s="4"/>
      <c r="G87" s="30"/>
      <c r="H87" s="9"/>
    </row>
    <row r="88" spans="2:8" x14ac:dyDescent="0.3">
      <c r="B88" s="57" t="s">
        <v>29</v>
      </c>
      <c r="C88" s="78"/>
      <c r="D88" s="30"/>
      <c r="E88" s="30"/>
      <c r="F88" s="4"/>
      <c r="G88" s="30"/>
      <c r="H88" s="9"/>
    </row>
    <row r="89" spans="2:8" x14ac:dyDescent="0.3">
      <c r="B89" s="47" t="s">
        <v>149</v>
      </c>
      <c r="C89" s="49">
        <v>5956.3567500000081</v>
      </c>
      <c r="D89" s="30"/>
      <c r="E89" s="30"/>
      <c r="F89" s="4"/>
      <c r="G89" s="30"/>
      <c r="H89" s="9"/>
    </row>
    <row r="90" spans="2:8" x14ac:dyDescent="0.3">
      <c r="B90" s="47" t="s">
        <v>173</v>
      </c>
      <c r="C90" s="49">
        <v>106123.25798427663</v>
      </c>
      <c r="D90" s="30"/>
      <c r="E90" s="30"/>
      <c r="F90" s="4"/>
      <c r="G90" s="30"/>
      <c r="H90" s="9"/>
    </row>
    <row r="91" spans="2:8" x14ac:dyDescent="0.3">
      <c r="B91" s="57" t="s">
        <v>30</v>
      </c>
      <c r="C91" s="78"/>
      <c r="D91" s="30"/>
      <c r="E91" s="30"/>
      <c r="F91" s="4"/>
      <c r="G91" s="30"/>
      <c r="H91" s="9"/>
    </row>
    <row r="92" spans="2:8" x14ac:dyDescent="0.3">
      <c r="B92" s="47" t="s">
        <v>145</v>
      </c>
      <c r="C92" s="49">
        <v>12172.712</v>
      </c>
      <c r="D92" s="30"/>
      <c r="E92" s="30"/>
      <c r="F92" s="4"/>
      <c r="G92" s="30"/>
      <c r="H92" s="9"/>
    </row>
    <row r="93" spans="2:8" x14ac:dyDescent="0.3">
      <c r="B93" s="47" t="s">
        <v>146</v>
      </c>
      <c r="C93" s="49">
        <v>14106.915000000001</v>
      </c>
      <c r="D93" s="30"/>
      <c r="E93" s="30"/>
      <c r="F93" s="4"/>
      <c r="G93" s="30"/>
      <c r="H93" s="9"/>
    </row>
    <row r="94" spans="2:8" x14ac:dyDescent="0.3">
      <c r="B94" s="47" t="s">
        <v>147</v>
      </c>
      <c r="C94" s="49">
        <v>11843.383000000002</v>
      </c>
      <c r="D94" s="30"/>
      <c r="E94" s="30"/>
      <c r="F94" s="4"/>
      <c r="G94" s="30"/>
      <c r="H94" s="9"/>
    </row>
    <row r="95" spans="2:8" x14ac:dyDescent="0.3">
      <c r="B95" s="57" t="s">
        <v>31</v>
      </c>
      <c r="C95" s="78"/>
      <c r="D95" s="30"/>
      <c r="E95" s="30"/>
      <c r="F95" s="4"/>
      <c r="G95" s="30"/>
      <c r="H95" s="9"/>
    </row>
    <row r="96" spans="2:8" x14ac:dyDescent="0.3">
      <c r="B96" s="47" t="s">
        <v>136</v>
      </c>
      <c r="C96" s="49">
        <v>63528.492000000006</v>
      </c>
      <c r="D96" s="30"/>
      <c r="E96" s="30"/>
      <c r="F96" s="4"/>
      <c r="G96" s="30"/>
      <c r="H96" s="9"/>
    </row>
    <row r="97" spans="2:8" x14ac:dyDescent="0.3">
      <c r="B97" s="47" t="s">
        <v>137</v>
      </c>
      <c r="C97" s="49">
        <v>62589.967000000004</v>
      </c>
      <c r="D97" s="30"/>
      <c r="E97" s="30"/>
      <c r="F97" s="4"/>
      <c r="G97" s="30"/>
      <c r="H97" s="9"/>
    </row>
    <row r="98" spans="2:8" x14ac:dyDescent="0.3">
      <c r="B98" s="57" t="s">
        <v>3</v>
      </c>
      <c r="C98" s="78"/>
      <c r="D98" s="30"/>
      <c r="E98" s="30"/>
      <c r="F98" s="4"/>
      <c r="G98" s="30"/>
      <c r="H98" s="9"/>
    </row>
    <row r="99" spans="2:8" x14ac:dyDescent="0.3">
      <c r="B99" s="47" t="s">
        <v>121</v>
      </c>
      <c r="C99" s="49">
        <v>280767.663</v>
      </c>
      <c r="D99" s="30"/>
      <c r="E99" s="30"/>
      <c r="F99" s="4"/>
      <c r="G99" s="30"/>
      <c r="H99" s="9"/>
    </row>
    <row r="100" spans="2:8" x14ac:dyDescent="0.3">
      <c r="B100" s="57" t="s">
        <v>33</v>
      </c>
      <c r="C100" s="78"/>
      <c r="D100" s="30"/>
      <c r="E100" s="30"/>
      <c r="F100" s="4"/>
      <c r="G100" s="30"/>
      <c r="H100" s="9"/>
    </row>
    <row r="101" spans="2:8" x14ac:dyDescent="0.3">
      <c r="B101" s="47" t="s">
        <v>128</v>
      </c>
      <c r="C101" s="49">
        <v>7186.3240000000005</v>
      </c>
      <c r="D101" s="30"/>
      <c r="E101" s="30"/>
      <c r="F101" s="4"/>
      <c r="G101" s="30"/>
      <c r="H101" s="9"/>
    </row>
    <row r="102" spans="2:8" x14ac:dyDescent="0.3">
      <c r="B102" s="47" t="s">
        <v>129</v>
      </c>
      <c r="C102" s="49">
        <v>6993.1389999999992</v>
      </c>
      <c r="D102" s="30"/>
      <c r="E102" s="30"/>
      <c r="F102" s="4"/>
      <c r="G102" s="30"/>
      <c r="H102" s="9"/>
    </row>
    <row r="103" spans="2:8" x14ac:dyDescent="0.3">
      <c r="B103" s="47" t="s">
        <v>130</v>
      </c>
      <c r="C103" s="49">
        <v>6822.6170000000011</v>
      </c>
      <c r="D103" s="30"/>
      <c r="E103" s="30"/>
      <c r="F103" s="4"/>
      <c r="G103" s="30"/>
      <c r="H103" s="9"/>
    </row>
    <row r="104" spans="2:8" x14ac:dyDescent="0.3">
      <c r="B104" s="47" t="s">
        <v>131</v>
      </c>
      <c r="C104" s="49">
        <v>5297.4830000000002</v>
      </c>
      <c r="D104" s="30"/>
      <c r="E104" s="30"/>
      <c r="F104" s="4"/>
      <c r="G104" s="30"/>
      <c r="H104" s="9"/>
    </row>
    <row r="105" spans="2:8" x14ac:dyDescent="0.3">
      <c r="B105" s="47" t="s">
        <v>132</v>
      </c>
      <c r="C105" s="49">
        <v>90321.68</v>
      </c>
      <c r="D105" s="30"/>
      <c r="E105" s="30"/>
      <c r="F105" s="4"/>
      <c r="G105" s="30"/>
      <c r="H105" s="9"/>
    </row>
    <row r="106" spans="2:8" x14ac:dyDescent="0.3">
      <c r="B106" s="57" t="s">
        <v>34</v>
      </c>
      <c r="C106" s="78"/>
      <c r="D106" s="30"/>
      <c r="E106" s="30"/>
      <c r="F106" s="4"/>
      <c r="G106" s="30"/>
      <c r="H106" s="9"/>
    </row>
    <row r="107" spans="2:8" x14ac:dyDescent="0.3">
      <c r="B107" s="47" t="s">
        <v>138</v>
      </c>
      <c r="C107" s="49">
        <v>79080.590999999986</v>
      </c>
      <c r="D107" s="30"/>
      <c r="E107" s="30"/>
      <c r="F107" s="4"/>
      <c r="G107" s="30"/>
      <c r="H107" s="9"/>
    </row>
    <row r="108" spans="2:8" x14ac:dyDescent="0.3">
      <c r="B108" s="47" t="s">
        <v>139</v>
      </c>
      <c r="C108" s="49">
        <v>77042.933999999994</v>
      </c>
      <c r="D108" s="30"/>
      <c r="E108" s="30"/>
      <c r="F108" s="4"/>
      <c r="G108" s="30"/>
      <c r="H108" s="9"/>
    </row>
    <row r="109" spans="2:8" x14ac:dyDescent="0.3">
      <c r="B109" s="57" t="s">
        <v>35</v>
      </c>
      <c r="C109" s="78"/>
      <c r="D109" s="30"/>
      <c r="E109" s="30"/>
      <c r="F109" s="4"/>
      <c r="G109" s="30"/>
      <c r="H109" s="9"/>
    </row>
    <row r="110" spans="2:8" x14ac:dyDescent="0.3">
      <c r="B110" s="47" t="s">
        <v>158</v>
      </c>
      <c r="C110" s="49">
        <v>95760.286999999982</v>
      </c>
      <c r="D110" s="30"/>
      <c r="E110" s="30"/>
      <c r="F110" s="4"/>
      <c r="G110" s="30"/>
      <c r="H110" s="9"/>
    </row>
    <row r="111" spans="2:8" x14ac:dyDescent="0.3">
      <c r="B111" s="47" t="s">
        <v>159</v>
      </c>
      <c r="C111" s="49">
        <v>93799.604999999996</v>
      </c>
      <c r="D111" s="30"/>
      <c r="E111" s="30"/>
      <c r="F111" s="4"/>
      <c r="G111" s="30"/>
      <c r="H111" s="9"/>
    </row>
    <row r="112" spans="2:8" x14ac:dyDescent="0.3">
      <c r="B112" s="57" t="s">
        <v>4</v>
      </c>
      <c r="C112" s="78"/>
      <c r="D112" s="30"/>
      <c r="E112" s="30"/>
      <c r="F112" s="4"/>
      <c r="G112" s="30"/>
      <c r="H112" s="9"/>
    </row>
    <row r="113" spans="2:8" x14ac:dyDescent="0.3">
      <c r="B113" s="47" t="s">
        <v>151</v>
      </c>
      <c r="C113" s="49">
        <v>14119.3</v>
      </c>
      <c r="D113" s="30"/>
      <c r="E113" s="30"/>
      <c r="F113" s="4"/>
      <c r="G113" s="30"/>
      <c r="H113" s="9"/>
    </row>
    <row r="114" spans="2:8" x14ac:dyDescent="0.3">
      <c r="B114" s="57" t="s">
        <v>36</v>
      </c>
      <c r="C114" s="78"/>
      <c r="D114" s="30"/>
      <c r="E114" s="30"/>
      <c r="F114" s="4"/>
      <c r="G114" s="30"/>
      <c r="H114" s="9"/>
    </row>
    <row r="115" spans="2:8" x14ac:dyDescent="0.3">
      <c r="B115" s="47" t="s">
        <v>152</v>
      </c>
      <c r="C115" s="49">
        <v>40270.455000000002</v>
      </c>
      <c r="D115" s="30"/>
      <c r="E115" s="30"/>
      <c r="F115" s="4"/>
      <c r="G115" s="30"/>
      <c r="H115" s="9"/>
    </row>
    <row r="116" spans="2:8" x14ac:dyDescent="0.3">
      <c r="B116" s="57" t="s">
        <v>37</v>
      </c>
      <c r="C116" s="78"/>
      <c r="D116" s="30"/>
      <c r="E116" s="30"/>
      <c r="F116" s="4"/>
      <c r="G116" s="30"/>
      <c r="H116" s="9"/>
    </row>
    <row r="117" spans="2:8" x14ac:dyDescent="0.3">
      <c r="B117" s="47" t="s">
        <v>153</v>
      </c>
      <c r="C117" s="49">
        <v>14596.415000000001</v>
      </c>
      <c r="D117" s="30"/>
      <c r="E117" s="30"/>
      <c r="F117" s="4"/>
      <c r="G117" s="30"/>
      <c r="H117" s="9"/>
    </row>
    <row r="118" spans="2:8" x14ac:dyDescent="0.3">
      <c r="B118" s="57" t="s">
        <v>38</v>
      </c>
      <c r="C118" s="78"/>
      <c r="D118" s="30"/>
      <c r="E118" s="30"/>
      <c r="F118" s="4"/>
      <c r="G118" s="30"/>
      <c r="H118" s="9"/>
    </row>
    <row r="119" spans="2:8" x14ac:dyDescent="0.3">
      <c r="B119" s="47" t="s">
        <v>140</v>
      </c>
      <c r="C119" s="49">
        <v>4114</v>
      </c>
      <c r="D119" s="30"/>
      <c r="E119" s="30"/>
      <c r="F119" s="4"/>
      <c r="G119" s="30"/>
      <c r="H119" s="9"/>
    </row>
    <row r="120" spans="2:8" x14ac:dyDescent="0.3">
      <c r="B120" s="47" t="s">
        <v>141</v>
      </c>
      <c r="C120" s="49">
        <v>4195</v>
      </c>
      <c r="D120" s="30"/>
      <c r="E120" s="30"/>
      <c r="F120" s="4"/>
      <c r="G120" s="30"/>
      <c r="H120" s="9"/>
    </row>
    <row r="121" spans="2:8" x14ac:dyDescent="0.3">
      <c r="B121" s="57" t="s">
        <v>39</v>
      </c>
      <c r="C121" s="78"/>
      <c r="D121" s="30"/>
      <c r="E121" s="30"/>
      <c r="F121" s="4"/>
      <c r="G121" s="30"/>
      <c r="H121" s="9"/>
    </row>
    <row r="122" spans="2:8" x14ac:dyDescent="0.3">
      <c r="B122" s="47" t="s">
        <v>154</v>
      </c>
      <c r="C122" s="49">
        <v>16964.522000000001</v>
      </c>
      <c r="D122" s="30"/>
      <c r="E122" s="30"/>
      <c r="F122" s="4"/>
      <c r="G122" s="30"/>
      <c r="H122" s="9"/>
    </row>
    <row r="123" spans="2:8" x14ac:dyDescent="0.3">
      <c r="B123" s="57" t="s">
        <v>5</v>
      </c>
      <c r="C123" s="78"/>
      <c r="D123" s="30"/>
      <c r="E123" s="30"/>
      <c r="F123" s="4"/>
      <c r="G123" s="30"/>
      <c r="H123" s="9"/>
    </row>
    <row r="124" spans="2:8" x14ac:dyDescent="0.3">
      <c r="B124" s="47" t="s">
        <v>155</v>
      </c>
      <c r="C124" s="49">
        <v>3310.3999999999996</v>
      </c>
      <c r="D124" s="30"/>
      <c r="E124" s="30"/>
      <c r="F124" s="4"/>
      <c r="G124" s="30"/>
      <c r="H124" s="9"/>
    </row>
    <row r="125" spans="2:8" x14ac:dyDescent="0.3">
      <c r="B125" s="57" t="s">
        <v>40</v>
      </c>
      <c r="C125" s="78"/>
      <c r="D125" s="30"/>
      <c r="E125" s="30"/>
      <c r="F125" s="4"/>
      <c r="G125" s="30"/>
      <c r="H125" s="9"/>
    </row>
    <row r="126" spans="2:8" x14ac:dyDescent="0.3">
      <c r="B126" s="47" t="s">
        <v>135</v>
      </c>
      <c r="C126" s="49">
        <v>66898.476999999999</v>
      </c>
      <c r="D126" s="30"/>
      <c r="E126" s="30"/>
      <c r="F126" s="4"/>
      <c r="G126" s="30"/>
      <c r="H126" s="9"/>
    </row>
    <row r="127" spans="2:8" x14ac:dyDescent="0.3">
      <c r="B127" s="57" t="s">
        <v>2</v>
      </c>
      <c r="C127" s="78"/>
      <c r="D127" s="30"/>
      <c r="E127" s="30"/>
      <c r="F127" s="4"/>
      <c r="G127" s="30"/>
      <c r="H127" s="9"/>
    </row>
    <row r="128" spans="2:8" x14ac:dyDescent="0.3">
      <c r="B128" s="47" t="s">
        <v>122</v>
      </c>
      <c r="C128" s="49">
        <v>418380.17099999997</v>
      </c>
      <c r="D128" s="30"/>
      <c r="E128" s="30"/>
      <c r="F128" s="4"/>
      <c r="G128" s="30"/>
      <c r="H128" s="9"/>
    </row>
    <row r="129" spans="2:8" x14ac:dyDescent="0.3">
      <c r="B129" s="57" t="s">
        <v>42</v>
      </c>
      <c r="C129" s="78"/>
      <c r="D129" s="30"/>
      <c r="E129" s="30"/>
      <c r="F129" s="4"/>
      <c r="G129" s="30"/>
      <c r="H129" s="9"/>
    </row>
    <row r="130" spans="2:8" x14ac:dyDescent="0.3">
      <c r="B130" s="47" t="s">
        <v>133</v>
      </c>
      <c r="C130" s="49">
        <v>35381.828000000001</v>
      </c>
      <c r="D130" s="30"/>
      <c r="E130" s="30"/>
      <c r="F130" s="4"/>
      <c r="G130" s="30"/>
      <c r="H130" s="9"/>
    </row>
    <row r="131" spans="2:8" x14ac:dyDescent="0.3">
      <c r="B131" s="47" t="s">
        <v>134</v>
      </c>
      <c r="C131" s="49">
        <v>43128.714000000007</v>
      </c>
      <c r="D131" s="30"/>
      <c r="E131" s="30"/>
      <c r="F131" s="4"/>
      <c r="G131" s="30"/>
      <c r="H131" s="9"/>
    </row>
    <row r="132" spans="2:8" x14ac:dyDescent="0.3">
      <c r="B132" s="57" t="s">
        <v>43</v>
      </c>
      <c r="C132" s="78"/>
      <c r="D132" s="30"/>
      <c r="E132" s="30"/>
      <c r="F132" s="4"/>
      <c r="G132" s="30"/>
      <c r="H132" s="9"/>
    </row>
    <row r="133" spans="2:8" x14ac:dyDescent="0.3">
      <c r="B133" s="47" t="s">
        <v>124</v>
      </c>
      <c r="C133" s="49">
        <v>8884.2089999999989</v>
      </c>
      <c r="D133" s="30"/>
      <c r="E133" s="30"/>
      <c r="F133" s="4"/>
      <c r="G133" s="30"/>
      <c r="H133" s="9"/>
    </row>
    <row r="134" spans="2:8" x14ac:dyDescent="0.3">
      <c r="B134" s="57" t="s">
        <v>46</v>
      </c>
      <c r="C134" s="78"/>
      <c r="D134" s="30"/>
      <c r="E134" s="30"/>
      <c r="F134" s="4"/>
      <c r="G134" s="30"/>
      <c r="H134" s="9"/>
    </row>
    <row r="135" spans="2:8" x14ac:dyDescent="0.3">
      <c r="B135" s="47" t="s">
        <v>150</v>
      </c>
      <c r="C135" s="49">
        <v>190812.26330156953</v>
      </c>
      <c r="D135" s="30"/>
      <c r="E135" s="30"/>
      <c r="F135" s="4"/>
      <c r="G135" s="30"/>
      <c r="H135" s="9"/>
    </row>
    <row r="136" spans="2:8" x14ac:dyDescent="0.3">
      <c r="B136" s="57" t="s">
        <v>1</v>
      </c>
      <c r="C136" s="78"/>
      <c r="D136" s="30"/>
      <c r="E136" s="30"/>
      <c r="F136" s="4"/>
      <c r="G136" s="30"/>
      <c r="H136" s="9"/>
    </row>
    <row r="137" spans="2:8" x14ac:dyDescent="0.3">
      <c r="B137" s="47" t="s">
        <v>123</v>
      </c>
      <c r="C137" s="49">
        <v>11345.115999999998</v>
      </c>
      <c r="D137" s="30"/>
      <c r="E137" s="30"/>
      <c r="F137" s="4"/>
      <c r="G137" s="30"/>
      <c r="H137" s="9"/>
    </row>
    <row r="138" spans="2:8" x14ac:dyDescent="0.3">
      <c r="F138" s="9"/>
    </row>
    <row r="139" spans="2:8" ht="28.8" x14ac:dyDescent="0.3">
      <c r="B139" s="84" t="s">
        <v>164</v>
      </c>
      <c r="C139" s="79" t="s">
        <v>165</v>
      </c>
      <c r="D139" s="99"/>
      <c r="E139" s="99"/>
      <c r="F139" s="4"/>
    </row>
    <row r="140" spans="2:8" x14ac:dyDescent="0.3">
      <c r="B140" s="7" t="s">
        <v>12</v>
      </c>
      <c r="C140" s="85">
        <f>+SUM(C141:C142)</f>
        <v>58156.17</v>
      </c>
      <c r="D140" s="31"/>
      <c r="E140" s="31"/>
      <c r="F140" s="14"/>
    </row>
    <row r="141" spans="2:8" x14ac:dyDescent="0.3">
      <c r="B141" s="57" t="s">
        <v>13</v>
      </c>
      <c r="C141" s="78"/>
      <c r="D141" s="30"/>
      <c r="E141" s="30"/>
      <c r="F141" s="4"/>
    </row>
    <row r="142" spans="2:8" x14ac:dyDescent="0.3">
      <c r="B142" s="47" t="s">
        <v>191</v>
      </c>
      <c r="C142" s="49">
        <v>58156.17</v>
      </c>
    </row>
  </sheetData>
  <pageMargins left="0.7" right="0.7" top="0.75" bottom="0.75" header="0.3" footer="0.3"/>
  <pageSetup orientation="portrait" verticalDpi="0" r:id="rId1"/>
  <ignoredErrors>
    <ignoredError sqref="D44:E44" formulaRange="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J136"/>
  <sheetViews>
    <sheetView zoomScaleNormal="100" workbookViewId="0"/>
  </sheetViews>
  <sheetFormatPr baseColWidth="10" defaultColWidth="9.109375" defaultRowHeight="14.4" x14ac:dyDescent="0.3"/>
  <cols>
    <col min="1" max="1" width="9.109375" style="1"/>
    <col min="2" max="2" width="38.33203125" style="1" customWidth="1"/>
    <col min="3" max="3" width="13.5546875" style="1" customWidth="1"/>
    <col min="4" max="5" width="11.109375" style="1" customWidth="1"/>
    <col min="6" max="6" width="14.44140625" style="1" customWidth="1"/>
    <col min="7" max="7" width="15.33203125" style="1" customWidth="1"/>
    <col min="8" max="8" width="16.88671875" style="1" customWidth="1"/>
    <col min="9" max="16384" width="9.109375" style="1"/>
  </cols>
  <sheetData>
    <row r="3" spans="2:10" ht="23.4" x14ac:dyDescent="0.45">
      <c r="B3" s="286" t="s">
        <v>356</v>
      </c>
      <c r="D3" s="286">
        <v>2009</v>
      </c>
    </row>
    <row r="4" spans="2:10" x14ac:dyDescent="0.3">
      <c r="G4" s="9"/>
      <c r="H4" s="9"/>
      <c r="I4" s="9"/>
      <c r="J4" s="9"/>
    </row>
    <row r="5" spans="2:10" x14ac:dyDescent="0.3">
      <c r="G5" s="9"/>
      <c r="H5" s="9"/>
      <c r="I5" s="9"/>
      <c r="J5" s="9"/>
    </row>
    <row r="6" spans="2:10" x14ac:dyDescent="0.3">
      <c r="B6" s="86" t="s">
        <v>160</v>
      </c>
      <c r="C6" s="87">
        <f>+C7+C9</f>
        <v>5632658.0872996207</v>
      </c>
      <c r="D6" s="32"/>
      <c r="E6" s="32"/>
      <c r="F6" s="32"/>
      <c r="G6" s="32"/>
      <c r="H6" s="9"/>
      <c r="I6" s="9"/>
      <c r="J6" s="9"/>
    </row>
    <row r="7" spans="2:10" x14ac:dyDescent="0.3">
      <c r="B7" s="88" t="s">
        <v>161</v>
      </c>
      <c r="C7" s="90">
        <f>+C68+C134</f>
        <v>2323968.514752368</v>
      </c>
      <c r="D7" s="98"/>
      <c r="E7" s="98"/>
      <c r="F7" s="98"/>
      <c r="G7" s="32"/>
      <c r="H7" s="9"/>
      <c r="I7" s="9"/>
      <c r="J7" s="9"/>
    </row>
    <row r="8" spans="2:10" x14ac:dyDescent="0.3">
      <c r="B8" s="88" t="s">
        <v>76</v>
      </c>
      <c r="C8" s="91">
        <f>+C7/C6</f>
        <v>0.41258824496952784</v>
      </c>
      <c r="D8" s="94"/>
      <c r="E8" s="94"/>
      <c r="F8" s="94"/>
      <c r="G8" s="32"/>
      <c r="H8" s="9"/>
      <c r="I8" s="9"/>
      <c r="J8" s="9"/>
    </row>
    <row r="9" spans="2:10" x14ac:dyDescent="0.3">
      <c r="B9" s="88" t="s">
        <v>162</v>
      </c>
      <c r="C9" s="90">
        <f>+C22</f>
        <v>3308689.5725472532</v>
      </c>
      <c r="D9" s="98"/>
      <c r="E9" s="98"/>
      <c r="F9" s="98"/>
      <c r="G9" s="32"/>
      <c r="H9" s="9"/>
      <c r="I9" s="9"/>
      <c r="J9" s="9"/>
    </row>
    <row r="10" spans="2:10" x14ac:dyDescent="0.3">
      <c r="B10" s="89" t="s">
        <v>77</v>
      </c>
      <c r="C10" s="92">
        <f>+C9/C6</f>
        <v>0.58741175503047227</v>
      </c>
      <c r="D10" s="94"/>
      <c r="E10" s="94"/>
      <c r="F10" s="94"/>
      <c r="G10" s="33"/>
      <c r="H10" s="9"/>
      <c r="I10" s="9"/>
      <c r="J10" s="9"/>
    </row>
    <row r="11" spans="2:10" x14ac:dyDescent="0.3">
      <c r="B11" s="93"/>
      <c r="C11" s="94"/>
      <c r="D11" s="94"/>
      <c r="E11" s="94"/>
      <c r="F11" s="94"/>
      <c r="G11" s="33"/>
      <c r="H11" s="9"/>
      <c r="I11" s="9"/>
      <c r="J11" s="9"/>
    </row>
    <row r="12" spans="2:10" x14ac:dyDescent="0.3">
      <c r="B12" s="86" t="s">
        <v>273</v>
      </c>
      <c r="C12" s="174"/>
      <c r="D12" s="94"/>
      <c r="E12" s="94"/>
      <c r="F12" s="94"/>
      <c r="G12" s="33"/>
      <c r="H12" s="9"/>
      <c r="I12" s="9"/>
      <c r="J12" s="9"/>
    </row>
    <row r="13" spans="2:10" x14ac:dyDescent="0.3">
      <c r="B13" s="178" t="s">
        <v>115</v>
      </c>
      <c r="C13" s="175">
        <v>3412.14</v>
      </c>
      <c r="D13" s="94"/>
      <c r="E13" s="94"/>
      <c r="F13" s="94"/>
      <c r="G13" s="33"/>
      <c r="H13" s="9"/>
      <c r="I13" s="9"/>
      <c r="J13" s="9"/>
    </row>
    <row r="14" spans="2:10" ht="15.6" x14ac:dyDescent="0.3">
      <c r="B14" s="178" t="s">
        <v>272</v>
      </c>
      <c r="C14" s="176">
        <v>5.6099999999999997E-2</v>
      </c>
      <c r="D14" s="94"/>
      <c r="E14" s="94"/>
      <c r="F14" s="94"/>
      <c r="G14" s="33"/>
      <c r="H14" s="9"/>
      <c r="I14" s="9"/>
      <c r="J14" s="9"/>
    </row>
    <row r="15" spans="2:10" x14ac:dyDescent="0.3">
      <c r="B15" s="179" t="s">
        <v>116</v>
      </c>
      <c r="C15" s="177">
        <v>3.6</v>
      </c>
      <c r="D15" s="94"/>
      <c r="E15" s="94"/>
      <c r="F15" s="94"/>
      <c r="G15" s="33"/>
      <c r="H15" s="9"/>
      <c r="I15" s="9"/>
      <c r="J15" s="9"/>
    </row>
    <row r="16" spans="2:10" ht="15" thickBot="1" x14ac:dyDescent="0.35">
      <c r="B16" s="93"/>
      <c r="C16" s="94"/>
      <c r="D16" s="94"/>
      <c r="E16" s="94"/>
      <c r="F16" s="94"/>
      <c r="G16" s="33"/>
      <c r="H16" s="9"/>
      <c r="I16" s="9"/>
      <c r="J16" s="9"/>
    </row>
    <row r="17" spans="2:10" ht="16.2" thickBot="1" x14ac:dyDescent="0.4">
      <c r="B17" s="96" t="s">
        <v>167</v>
      </c>
      <c r="C17" s="97">
        <f>+H22/C6</f>
        <v>0.35836905522484996</v>
      </c>
      <c r="D17" s="95"/>
      <c r="E17" s="95"/>
      <c r="F17" s="95"/>
      <c r="G17" s="33"/>
      <c r="H17" s="9"/>
      <c r="I17" s="9"/>
      <c r="J17" s="9"/>
    </row>
    <row r="18" spans="2:10" ht="15" thickBot="1" x14ac:dyDescent="0.35">
      <c r="B18" s="93"/>
      <c r="C18" s="95"/>
      <c r="D18" s="95"/>
      <c r="E18" s="95"/>
      <c r="F18" s="95"/>
      <c r="G18" s="33"/>
      <c r="H18" s="9"/>
      <c r="I18" s="9"/>
      <c r="J18" s="9"/>
    </row>
    <row r="19" spans="2:10" ht="16.2" thickBot="1" x14ac:dyDescent="0.4">
      <c r="B19" s="96" t="s">
        <v>167</v>
      </c>
      <c r="C19" s="97">
        <f>+H22/C9</f>
        <v>0.6100815180422452</v>
      </c>
      <c r="D19" s="95"/>
      <c r="E19" s="95"/>
      <c r="F19" s="95"/>
      <c r="G19" s="33"/>
      <c r="H19" s="9"/>
      <c r="I19" s="9"/>
      <c r="J19" s="9"/>
    </row>
    <row r="20" spans="2:10" x14ac:dyDescent="0.3">
      <c r="B20" s="93"/>
      <c r="C20" s="95"/>
      <c r="D20" s="95"/>
      <c r="E20" s="95"/>
      <c r="F20" s="95"/>
      <c r="G20" s="33"/>
      <c r="H20" s="9"/>
      <c r="I20" s="9"/>
      <c r="J20" s="9"/>
    </row>
    <row r="21" spans="2:10" ht="33" customHeight="1" x14ac:dyDescent="0.35">
      <c r="B21" s="81" t="s">
        <v>163</v>
      </c>
      <c r="C21" s="79" t="s">
        <v>197</v>
      </c>
      <c r="D21" s="79" t="s">
        <v>168</v>
      </c>
      <c r="E21" s="79" t="s">
        <v>169</v>
      </c>
      <c r="F21" s="79" t="s">
        <v>170</v>
      </c>
      <c r="G21" s="79" t="s">
        <v>209</v>
      </c>
      <c r="H21" s="80" t="s">
        <v>208</v>
      </c>
    </row>
    <row r="22" spans="2:10" x14ac:dyDescent="0.3">
      <c r="B22" s="16" t="s">
        <v>15</v>
      </c>
      <c r="C22" s="58">
        <f>SUM(C23:C65)</f>
        <v>3308689.5725472532</v>
      </c>
      <c r="D22" s="58"/>
      <c r="E22" s="58"/>
      <c r="F22" s="58"/>
      <c r="G22" s="17"/>
      <c r="H22" s="74">
        <f>SUM(H23:H65)</f>
        <v>2018570.3571501756</v>
      </c>
    </row>
    <row r="23" spans="2:10" x14ac:dyDescent="0.3">
      <c r="B23" s="75" t="s">
        <v>19</v>
      </c>
      <c r="C23" s="287"/>
      <c r="D23" s="290">
        <f>+SUM(D24:D36)</f>
        <v>47</v>
      </c>
      <c r="E23" s="54">
        <f>SUMPRODUCT(D24:D36,E24:E36)/D23</f>
        <v>10354.489361702128</v>
      </c>
      <c r="F23" s="51">
        <f t="shared" ref="F23:F65" si="0">1/(E23/$C$13)</f>
        <v>0.32953242606249522</v>
      </c>
      <c r="G23" s="46">
        <f t="shared" ref="G23:G65" si="1">+$C$14*$C$15/F23</f>
        <v>0.61286836750231877</v>
      </c>
      <c r="H23" s="65">
        <f>+G23*C23</f>
        <v>0</v>
      </c>
    </row>
    <row r="24" spans="2:10" x14ac:dyDescent="0.3">
      <c r="B24" s="76" t="s">
        <v>87</v>
      </c>
      <c r="C24" s="288">
        <v>5851.9657339999994</v>
      </c>
      <c r="D24" s="48">
        <v>3</v>
      </c>
      <c r="E24" s="49">
        <v>10201</v>
      </c>
      <c r="F24" s="55">
        <f t="shared" si="0"/>
        <v>0.33449073620233311</v>
      </c>
      <c r="G24" s="59">
        <f t="shared" si="1"/>
        <v>0.60378353760396697</v>
      </c>
      <c r="H24" s="60">
        <f>+G24*C24</f>
        <v>3533.320572811715</v>
      </c>
    </row>
    <row r="25" spans="2:10" x14ac:dyDescent="0.3">
      <c r="B25" s="76" t="s">
        <v>88</v>
      </c>
      <c r="C25" s="288">
        <v>2175.5377950000002</v>
      </c>
      <c r="D25" s="48">
        <v>3</v>
      </c>
      <c r="E25" s="49">
        <v>10201</v>
      </c>
      <c r="F25" s="55">
        <f t="shared" si="0"/>
        <v>0.33449073620233311</v>
      </c>
      <c r="G25" s="59">
        <f t="shared" si="1"/>
        <v>0.60378353760396697</v>
      </c>
      <c r="H25" s="60">
        <f t="shared" ref="H25:H35" si="2">+G25*C25</f>
        <v>1313.5539060562339</v>
      </c>
    </row>
    <row r="26" spans="2:10" x14ac:dyDescent="0.3">
      <c r="B26" s="76" t="s">
        <v>89</v>
      </c>
      <c r="C26" s="288">
        <v>2252.5128680000003</v>
      </c>
      <c r="D26" s="48">
        <v>3</v>
      </c>
      <c r="E26" s="49">
        <v>10201</v>
      </c>
      <c r="F26" s="55">
        <f t="shared" si="0"/>
        <v>0.33449073620233311</v>
      </c>
      <c r="G26" s="59">
        <f t="shared" si="1"/>
        <v>0.60378353760396697</v>
      </c>
      <c r="H26" s="60">
        <f t="shared" si="2"/>
        <v>1360.0301879394976</v>
      </c>
    </row>
    <row r="27" spans="2:10" x14ac:dyDescent="0.3">
      <c r="B27" s="76" t="s">
        <v>90</v>
      </c>
      <c r="C27" s="288">
        <v>2544.7617599999999</v>
      </c>
      <c r="D27" s="48">
        <v>3</v>
      </c>
      <c r="E27" s="49">
        <v>10201</v>
      </c>
      <c r="F27" s="55">
        <f t="shared" si="0"/>
        <v>0.33449073620233311</v>
      </c>
      <c r="G27" s="59">
        <f t="shared" si="1"/>
        <v>0.60378353760396697</v>
      </c>
      <c r="H27" s="60">
        <f t="shared" si="2"/>
        <v>1536.4852578120972</v>
      </c>
    </row>
    <row r="28" spans="2:10" x14ac:dyDescent="0.3">
      <c r="B28" s="76" t="s">
        <v>91</v>
      </c>
      <c r="C28" s="288">
        <v>2150.6769690000001</v>
      </c>
      <c r="D28" s="48">
        <v>3</v>
      </c>
      <c r="E28" s="49">
        <v>10201</v>
      </c>
      <c r="F28" s="55">
        <f t="shared" si="0"/>
        <v>0.33449073620233311</v>
      </c>
      <c r="G28" s="59">
        <f t="shared" si="1"/>
        <v>0.60378353760396697</v>
      </c>
      <c r="H28" s="60">
        <f t="shared" si="2"/>
        <v>1298.5433485861972</v>
      </c>
    </row>
    <row r="29" spans="2:10" x14ac:dyDescent="0.3">
      <c r="B29" s="76" t="s">
        <v>92</v>
      </c>
      <c r="C29" s="288">
        <v>103353.98833129661</v>
      </c>
      <c r="D29" s="48">
        <v>18</v>
      </c>
      <c r="E29" s="49">
        <v>11497</v>
      </c>
      <c r="F29" s="55">
        <f t="shared" si="0"/>
        <v>0.29678524832565017</v>
      </c>
      <c r="G29" s="59">
        <f t="shared" si="1"/>
        <v>0.68049204311663647</v>
      </c>
      <c r="H29" s="60">
        <f t="shared" si="2"/>
        <v>70331.566683817044</v>
      </c>
    </row>
    <row r="30" spans="2:10" x14ac:dyDescent="0.3">
      <c r="B30" s="76" t="s">
        <v>93</v>
      </c>
      <c r="C30" s="288">
        <v>11031.299359000001</v>
      </c>
      <c r="D30" s="48">
        <v>2</v>
      </c>
      <c r="E30" s="49">
        <v>9050</v>
      </c>
      <c r="F30" s="55">
        <f t="shared" si="0"/>
        <v>0.37703204419889497</v>
      </c>
      <c r="G30" s="59">
        <f t="shared" si="1"/>
        <v>0.53565738803214413</v>
      </c>
      <c r="H30" s="60">
        <f t="shared" si="2"/>
        <v>5908.9970012426065</v>
      </c>
    </row>
    <row r="31" spans="2:10" x14ac:dyDescent="0.3">
      <c r="B31" s="76" t="s">
        <v>94</v>
      </c>
      <c r="C31" s="288">
        <v>10810.116693</v>
      </c>
      <c r="D31" s="48">
        <v>2</v>
      </c>
      <c r="E31" s="49">
        <v>9050</v>
      </c>
      <c r="F31" s="55">
        <f t="shared" si="0"/>
        <v>0.37703204419889497</v>
      </c>
      <c r="G31" s="59">
        <f t="shared" si="1"/>
        <v>0.53565738803214413</v>
      </c>
      <c r="H31" s="60">
        <f t="shared" si="2"/>
        <v>5790.51887209506</v>
      </c>
    </row>
    <row r="32" spans="2:10" x14ac:dyDescent="0.3">
      <c r="B32" s="76" t="s">
        <v>95</v>
      </c>
      <c r="C32" s="288">
        <v>10819.399785999998</v>
      </c>
      <c r="D32" s="48">
        <v>2</v>
      </c>
      <c r="E32" s="49">
        <v>9050</v>
      </c>
      <c r="F32" s="55">
        <f t="shared" si="0"/>
        <v>0.37703204419889497</v>
      </c>
      <c r="G32" s="59">
        <f t="shared" si="1"/>
        <v>0.53565738803214413</v>
      </c>
      <c r="H32" s="60">
        <f t="shared" si="2"/>
        <v>5795.4914294442979</v>
      </c>
    </row>
    <row r="33" spans="2:8" x14ac:dyDescent="0.3">
      <c r="B33" s="76" t="s">
        <v>96</v>
      </c>
      <c r="C33" s="288">
        <v>7067.3248859999994</v>
      </c>
      <c r="D33" s="48">
        <v>2</v>
      </c>
      <c r="E33" s="49">
        <v>9050</v>
      </c>
      <c r="F33" s="55">
        <f t="shared" si="0"/>
        <v>0.37703204419889497</v>
      </c>
      <c r="G33" s="59">
        <f t="shared" si="1"/>
        <v>0.53565738803214413</v>
      </c>
      <c r="H33" s="60">
        <f t="shared" si="2"/>
        <v>3785.6647888093303</v>
      </c>
    </row>
    <row r="34" spans="2:8" x14ac:dyDescent="0.3">
      <c r="B34" s="76" t="s">
        <v>97</v>
      </c>
      <c r="C34" s="288">
        <v>11050.091172999999</v>
      </c>
      <c r="D34" s="48">
        <v>2</v>
      </c>
      <c r="E34" s="49">
        <v>9050</v>
      </c>
      <c r="F34" s="55">
        <f t="shared" si="0"/>
        <v>0.37703204419889497</v>
      </c>
      <c r="G34" s="59">
        <f t="shared" si="1"/>
        <v>0.53565738803214413</v>
      </c>
      <c r="H34" s="60">
        <f t="shared" si="2"/>
        <v>5919.062975246231</v>
      </c>
    </row>
    <row r="35" spans="2:8" x14ac:dyDescent="0.3">
      <c r="B35" s="76" t="s">
        <v>98</v>
      </c>
      <c r="C35" s="70">
        <v>7370.0689359999997</v>
      </c>
      <c r="D35" s="48">
        <v>2</v>
      </c>
      <c r="E35" s="49">
        <v>9050</v>
      </c>
      <c r="F35" s="55">
        <f t="shared" si="0"/>
        <v>0.37703204419889497</v>
      </c>
      <c r="G35" s="59">
        <f t="shared" si="1"/>
        <v>0.53565738803214413</v>
      </c>
      <c r="H35" s="60">
        <f t="shared" si="2"/>
        <v>3947.8318758746036</v>
      </c>
    </row>
    <row r="36" spans="2:8" x14ac:dyDescent="0.3">
      <c r="B36" s="76" t="s">
        <v>99</v>
      </c>
      <c r="C36" s="288">
        <v>0</v>
      </c>
      <c r="D36" s="48">
        <v>2</v>
      </c>
      <c r="E36" s="49">
        <v>9050</v>
      </c>
      <c r="F36" s="56">
        <f t="shared" si="0"/>
        <v>0.37703204419889497</v>
      </c>
      <c r="G36" s="59">
        <f t="shared" si="1"/>
        <v>0.53565738803214413</v>
      </c>
      <c r="H36" s="60">
        <f t="shared" ref="H36" si="3">+G36*C36</f>
        <v>0</v>
      </c>
    </row>
    <row r="37" spans="2:8" x14ac:dyDescent="0.3">
      <c r="B37" s="77" t="s">
        <v>20</v>
      </c>
      <c r="C37" s="287"/>
      <c r="D37" s="290">
        <f>+SUM(D38:D39)</f>
        <v>90</v>
      </c>
      <c r="E37" s="44">
        <f>SUMPRODUCT(D38:D39,E38:E39)/D37</f>
        <v>8696</v>
      </c>
      <c r="F37" s="51">
        <f t="shared" si="0"/>
        <v>0.39238040478380859</v>
      </c>
      <c r="G37" s="46">
        <f t="shared" si="1"/>
        <v>0.51470460180414646</v>
      </c>
      <c r="H37" s="65">
        <f>+G37*C37</f>
        <v>0</v>
      </c>
    </row>
    <row r="38" spans="2:8" x14ac:dyDescent="0.3">
      <c r="B38" s="76" t="s">
        <v>113</v>
      </c>
      <c r="C38" s="288">
        <v>303179</v>
      </c>
      <c r="D38" s="48">
        <v>45</v>
      </c>
      <c r="E38" s="49">
        <v>8455</v>
      </c>
      <c r="F38" s="55">
        <f t="shared" si="0"/>
        <v>0.40356475458308694</v>
      </c>
      <c r="G38" s="59">
        <f t="shared" si="1"/>
        <v>0.50044013434384282</v>
      </c>
      <c r="H38" s="60">
        <f t="shared" ref="H38:H39" si="4">+G38*C38</f>
        <v>151722.93949023192</v>
      </c>
    </row>
    <row r="39" spans="2:8" x14ac:dyDescent="0.3">
      <c r="B39" s="76" t="s">
        <v>114</v>
      </c>
      <c r="C39" s="288">
        <v>327497</v>
      </c>
      <c r="D39" s="48">
        <v>45</v>
      </c>
      <c r="E39" s="49">
        <v>8937</v>
      </c>
      <c r="F39" s="56">
        <f t="shared" si="0"/>
        <v>0.38179926149714666</v>
      </c>
      <c r="G39" s="59">
        <f t="shared" si="1"/>
        <v>0.52896906926444998</v>
      </c>
      <c r="H39" s="60">
        <f t="shared" si="4"/>
        <v>173235.78327689957</v>
      </c>
    </row>
    <row r="40" spans="2:8" x14ac:dyDescent="0.3">
      <c r="B40" s="77" t="s">
        <v>18</v>
      </c>
      <c r="C40" s="289">
        <v>622012.59</v>
      </c>
      <c r="D40" s="290">
        <f>+SUM(D41:D42)</f>
        <v>112</v>
      </c>
      <c r="E40" s="44">
        <f>SUMPRODUCT(D41:D42,E41:E42)/D40</f>
        <v>9830</v>
      </c>
      <c r="F40" s="51">
        <f t="shared" si="0"/>
        <v>0.34711495422177008</v>
      </c>
      <c r="G40" s="46">
        <f t="shared" si="1"/>
        <v>0.58182454412773221</v>
      </c>
      <c r="H40" s="101">
        <f>+G40*C40</f>
        <v>361902.19161846</v>
      </c>
    </row>
    <row r="41" spans="2:8" x14ac:dyDescent="0.3">
      <c r="B41" s="76" t="s">
        <v>105</v>
      </c>
      <c r="C41" s="288"/>
      <c r="D41" s="48">
        <v>56</v>
      </c>
      <c r="E41" s="49">
        <v>9830</v>
      </c>
      <c r="F41" s="55">
        <f t="shared" si="0"/>
        <v>0.34711495422177008</v>
      </c>
      <c r="G41" s="59">
        <f t="shared" si="1"/>
        <v>0.58182454412773221</v>
      </c>
      <c r="H41" s="60"/>
    </row>
    <row r="42" spans="2:8" x14ac:dyDescent="0.3">
      <c r="B42" s="76" t="s">
        <v>106</v>
      </c>
      <c r="C42" s="70"/>
      <c r="D42" s="48">
        <v>56</v>
      </c>
      <c r="E42" s="49">
        <v>9830</v>
      </c>
      <c r="F42" s="55">
        <f t="shared" si="0"/>
        <v>0.34711495422177008</v>
      </c>
      <c r="G42" s="59">
        <f t="shared" si="1"/>
        <v>0.58182454412773221</v>
      </c>
      <c r="H42" s="71"/>
    </row>
    <row r="43" spans="2:8" x14ac:dyDescent="0.3">
      <c r="B43" s="77" t="s">
        <v>16</v>
      </c>
      <c r="C43" s="287"/>
      <c r="D43" s="290">
        <f>+SUM(D44:D52)</f>
        <v>316</v>
      </c>
      <c r="E43" s="44">
        <f>SUMPRODUCT(D44:D52,E44:E52)/D43</f>
        <v>10943.60759493671</v>
      </c>
      <c r="F43" s="51">
        <f t="shared" si="0"/>
        <v>0.31179297780913656</v>
      </c>
      <c r="G43" s="46">
        <f t="shared" si="1"/>
        <v>0.64773748728757263</v>
      </c>
      <c r="H43" s="65">
        <f>+G43*C43</f>
        <v>0</v>
      </c>
    </row>
    <row r="44" spans="2:8" x14ac:dyDescent="0.3">
      <c r="B44" s="76" t="s">
        <v>78</v>
      </c>
      <c r="C44" s="288">
        <v>74126.778671406006</v>
      </c>
      <c r="D44" s="48">
        <v>22</v>
      </c>
      <c r="E44" s="49">
        <v>11971</v>
      </c>
      <c r="F44" s="55">
        <f t="shared" si="0"/>
        <v>0.2850338317600869</v>
      </c>
      <c r="G44" s="59">
        <f t="shared" si="1"/>
        <v>0.70854746874395536</v>
      </c>
      <c r="H44" s="60">
        <f t="shared" ref="H44:H52" si="5">+G44*C44</f>
        <v>52522.34139376814</v>
      </c>
    </row>
    <row r="45" spans="2:8" x14ac:dyDescent="0.3">
      <c r="B45" s="76" t="s">
        <v>79</v>
      </c>
      <c r="C45" s="288">
        <v>55177.356636180994</v>
      </c>
      <c r="D45" s="48">
        <v>20</v>
      </c>
      <c r="E45" s="49">
        <v>12595</v>
      </c>
      <c r="F45" s="55">
        <f t="shared" si="0"/>
        <v>0.27091226677252878</v>
      </c>
      <c r="G45" s="59">
        <f t="shared" si="1"/>
        <v>0.74548119362042586</v>
      </c>
      <c r="H45" s="60">
        <f t="shared" si="5"/>
        <v>41133.681685960131</v>
      </c>
    </row>
    <row r="46" spans="2:8" x14ac:dyDescent="0.3">
      <c r="B46" s="76" t="s">
        <v>80</v>
      </c>
      <c r="C46" s="288">
        <v>34079.316408226761</v>
      </c>
      <c r="D46" s="48">
        <v>20</v>
      </c>
      <c r="E46" s="49">
        <v>12834</v>
      </c>
      <c r="F46" s="55">
        <f t="shared" si="0"/>
        <v>0.26586722767648435</v>
      </c>
      <c r="G46" s="59">
        <f t="shared" si="1"/>
        <v>0.75962728375740729</v>
      </c>
      <c r="H46" s="60">
        <f t="shared" si="5"/>
        <v>25887.578555490538</v>
      </c>
    </row>
    <row r="47" spans="2:8" x14ac:dyDescent="0.3">
      <c r="B47" s="76" t="s">
        <v>81</v>
      </c>
      <c r="C47" s="288">
        <v>42803.138590336945</v>
      </c>
      <c r="D47" s="48">
        <v>21</v>
      </c>
      <c r="E47" s="49">
        <v>12644</v>
      </c>
      <c r="F47" s="55">
        <f t="shared" si="0"/>
        <v>0.26986238532110091</v>
      </c>
      <c r="G47" s="59">
        <f t="shared" si="1"/>
        <v>0.74838143804181545</v>
      </c>
      <c r="H47" s="60">
        <f t="shared" si="5"/>
        <v>32033.074410939487</v>
      </c>
    </row>
    <row r="48" spans="2:8" x14ac:dyDescent="0.3">
      <c r="B48" s="76" t="s">
        <v>118</v>
      </c>
      <c r="C48" s="288">
        <v>2585.2510000000002</v>
      </c>
      <c r="D48" s="48">
        <v>22</v>
      </c>
      <c r="E48" s="49">
        <v>11850</v>
      </c>
      <c r="F48" s="55">
        <f t="shared" si="0"/>
        <v>0.28794430379746838</v>
      </c>
      <c r="G48" s="59">
        <f t="shared" si="1"/>
        <v>0.70138564068297304</v>
      </c>
      <c r="H48" s="60">
        <f t="shared" si="5"/>
        <v>1813.2579289612968</v>
      </c>
    </row>
    <row r="49" spans="2:8" x14ac:dyDescent="0.3">
      <c r="B49" s="76" t="s">
        <v>119</v>
      </c>
      <c r="C49" s="288">
        <v>1867.027</v>
      </c>
      <c r="D49" s="48">
        <v>22</v>
      </c>
      <c r="E49" s="49">
        <v>11672</v>
      </c>
      <c r="F49" s="55">
        <f t="shared" si="0"/>
        <v>0.29233550376970524</v>
      </c>
      <c r="G49" s="59">
        <f t="shared" si="1"/>
        <v>0.69085005890731344</v>
      </c>
      <c r="H49" s="60">
        <f t="shared" si="5"/>
        <v>1289.8357129315448</v>
      </c>
    </row>
    <row r="50" spans="2:8" x14ac:dyDescent="0.3">
      <c r="B50" s="76" t="s">
        <v>82</v>
      </c>
      <c r="C50" s="288">
        <v>280808.80416330742</v>
      </c>
      <c r="D50" s="48">
        <v>63</v>
      </c>
      <c r="E50" s="49">
        <v>10070</v>
      </c>
      <c r="F50" s="55">
        <f t="shared" si="0"/>
        <v>0.33884210526315789</v>
      </c>
      <c r="G50" s="59">
        <f t="shared" si="1"/>
        <v>0.59602982292637463</v>
      </c>
      <c r="H50" s="60">
        <f t="shared" si="5"/>
        <v>167370.42182162314</v>
      </c>
    </row>
    <row r="51" spans="2:8" x14ac:dyDescent="0.3">
      <c r="B51" s="76" t="s">
        <v>83</v>
      </c>
      <c r="C51" s="288">
        <v>338845.1554794985</v>
      </c>
      <c r="D51" s="48">
        <v>63</v>
      </c>
      <c r="E51" s="49">
        <v>10070</v>
      </c>
      <c r="F51" s="55">
        <f t="shared" si="0"/>
        <v>0.33884210526315789</v>
      </c>
      <c r="G51" s="59">
        <f t="shared" si="1"/>
        <v>0.59602982292637463</v>
      </c>
      <c r="H51" s="60">
        <f t="shared" si="5"/>
        <v>201961.81801990536</v>
      </c>
    </row>
    <row r="52" spans="2:8" x14ac:dyDescent="0.3">
      <c r="B52" s="76" t="s">
        <v>84</v>
      </c>
      <c r="C52" s="288">
        <v>425665.0024</v>
      </c>
      <c r="D52" s="48">
        <v>63</v>
      </c>
      <c r="E52" s="49">
        <v>10070</v>
      </c>
      <c r="F52" s="55">
        <f t="shared" si="0"/>
        <v>0.33884210526315789</v>
      </c>
      <c r="G52" s="59">
        <f t="shared" si="1"/>
        <v>0.59602982292637463</v>
      </c>
      <c r="H52" s="60">
        <f t="shared" si="5"/>
        <v>253709.03600642682</v>
      </c>
    </row>
    <row r="53" spans="2:8" x14ac:dyDescent="0.3">
      <c r="B53" s="77" t="s">
        <v>21</v>
      </c>
      <c r="C53" s="287"/>
      <c r="D53" s="290">
        <f>+D54</f>
        <v>14</v>
      </c>
      <c r="E53" s="44">
        <f>+E54</f>
        <v>11860</v>
      </c>
      <c r="F53" s="51">
        <f t="shared" si="0"/>
        <v>0.2877015177065767</v>
      </c>
      <c r="G53" s="46">
        <f t="shared" si="1"/>
        <v>0.70197752729958329</v>
      </c>
      <c r="H53" s="65">
        <f>+G53*C53</f>
        <v>0</v>
      </c>
    </row>
    <row r="54" spans="2:8" x14ac:dyDescent="0.3">
      <c r="B54" s="76" t="s">
        <v>100</v>
      </c>
      <c r="C54" s="288">
        <v>96307.514407999988</v>
      </c>
      <c r="D54" s="48">
        <v>14</v>
      </c>
      <c r="E54" s="49">
        <v>11860</v>
      </c>
      <c r="F54" s="55">
        <f t="shared" si="0"/>
        <v>0.2877015177065767</v>
      </c>
      <c r="G54" s="59">
        <f t="shared" si="1"/>
        <v>0.70197752729958329</v>
      </c>
      <c r="H54" s="60">
        <f t="shared" ref="H54" si="6">+G54*C54</f>
        <v>67605.710824496826</v>
      </c>
    </row>
    <row r="55" spans="2:8" x14ac:dyDescent="0.3">
      <c r="B55" s="77" t="s">
        <v>22</v>
      </c>
      <c r="C55" s="287"/>
      <c r="D55" s="290">
        <f>+SUM(D56:D57)</f>
        <v>18</v>
      </c>
      <c r="E55" s="44">
        <f>SUMPRODUCT(D56:D57,E56:E57)/D55</f>
        <v>12145</v>
      </c>
      <c r="F55" s="51">
        <f t="shared" si="0"/>
        <v>0.28095018526142446</v>
      </c>
      <c r="G55" s="46">
        <f t="shared" si="1"/>
        <v>0.71884629587297122</v>
      </c>
      <c r="H55" s="65">
        <f>+G55*C55</f>
        <v>0</v>
      </c>
    </row>
    <row r="56" spans="2:8" x14ac:dyDescent="0.3">
      <c r="B56" s="76" t="s">
        <v>111</v>
      </c>
      <c r="C56" s="288">
        <v>32685.739999999998</v>
      </c>
      <c r="D56" s="48">
        <v>9</v>
      </c>
      <c r="E56" s="49">
        <v>12145</v>
      </c>
      <c r="F56" s="55">
        <f t="shared" si="0"/>
        <v>0.28095018526142446</v>
      </c>
      <c r="G56" s="59">
        <f t="shared" si="1"/>
        <v>0.71884629587297122</v>
      </c>
      <c r="H56" s="60">
        <f t="shared" ref="H56:H57" si="7">+G56*C56</f>
        <v>23496.02312686701</v>
      </c>
    </row>
    <row r="57" spans="2:8" x14ac:dyDescent="0.3">
      <c r="B57" s="76" t="s">
        <v>112</v>
      </c>
      <c r="C57" s="288">
        <v>38581.040000000001</v>
      </c>
      <c r="D57" s="48">
        <v>9</v>
      </c>
      <c r="E57" s="49">
        <v>12145</v>
      </c>
      <c r="F57" s="55">
        <f t="shared" si="0"/>
        <v>0.28095018526142446</v>
      </c>
      <c r="G57" s="59">
        <f t="shared" si="1"/>
        <v>0.71884629587297122</v>
      </c>
      <c r="H57" s="60">
        <f t="shared" si="7"/>
        <v>27733.837694926937</v>
      </c>
    </row>
    <row r="58" spans="2:8" x14ac:dyDescent="0.3">
      <c r="B58" s="77" t="s">
        <v>17</v>
      </c>
      <c r="C58" s="287"/>
      <c r="D58" s="290">
        <f>+SUM(D59:D60)</f>
        <v>44</v>
      </c>
      <c r="E58" s="44">
        <f>SUMPRODUCT(D59:D60,E59:E60)/D58</f>
        <v>11761</v>
      </c>
      <c r="F58" s="51">
        <f t="shared" si="0"/>
        <v>0.29012328883598332</v>
      </c>
      <c r="G58" s="46">
        <f t="shared" si="1"/>
        <v>0.69611784979514324</v>
      </c>
      <c r="H58" s="65">
        <f>+G58*C58</f>
        <v>0</v>
      </c>
    </row>
    <row r="59" spans="2:8" x14ac:dyDescent="0.3">
      <c r="B59" s="76" t="s">
        <v>85</v>
      </c>
      <c r="C59" s="288">
        <v>67712.264999999999</v>
      </c>
      <c r="D59" s="48">
        <v>22</v>
      </c>
      <c r="E59" s="49">
        <v>11850</v>
      </c>
      <c r="F59" s="55">
        <f t="shared" si="0"/>
        <v>0.28794430379746838</v>
      </c>
      <c r="G59" s="59">
        <f t="shared" si="1"/>
        <v>0.70138564068297304</v>
      </c>
      <c r="H59" s="60">
        <f t="shared" ref="H59:H60" si="8">+G59*C59</f>
        <v>47492.410369120254</v>
      </c>
    </row>
    <row r="60" spans="2:8" x14ac:dyDescent="0.3">
      <c r="B60" s="76" t="s">
        <v>86</v>
      </c>
      <c r="C60" s="288">
        <v>55725.808499999999</v>
      </c>
      <c r="D60" s="48">
        <v>22</v>
      </c>
      <c r="E60" s="49">
        <v>11672</v>
      </c>
      <c r="F60" s="55">
        <f t="shared" si="0"/>
        <v>0.29233550376970524</v>
      </c>
      <c r="G60" s="59">
        <f t="shared" si="1"/>
        <v>0.69085005890731344</v>
      </c>
      <c r="H60" s="60">
        <f t="shared" si="8"/>
        <v>38498.178084882667</v>
      </c>
    </row>
    <row r="61" spans="2:8" x14ac:dyDescent="0.3">
      <c r="B61" s="77" t="s">
        <v>45</v>
      </c>
      <c r="C61" s="289">
        <v>332553.04000000004</v>
      </c>
      <c r="D61" s="290">
        <f>+SUM(D62:D65)</f>
        <v>72</v>
      </c>
      <c r="E61" s="44">
        <f>SUMPRODUCT(D62:D65,E62:E65)/D61</f>
        <v>12124</v>
      </c>
      <c r="F61" s="51">
        <f t="shared" si="0"/>
        <v>0.28143681953150773</v>
      </c>
      <c r="G61" s="46">
        <f t="shared" si="1"/>
        <v>0.71760333397809006</v>
      </c>
      <c r="H61" s="101">
        <f>+G61*C61</f>
        <v>238641.17022854916</v>
      </c>
    </row>
    <row r="62" spans="2:8" x14ac:dyDescent="0.3">
      <c r="B62" s="76" t="s">
        <v>101</v>
      </c>
      <c r="C62" s="288"/>
      <c r="D62" s="48">
        <v>18</v>
      </c>
      <c r="E62" s="49">
        <v>12124</v>
      </c>
      <c r="F62" s="55">
        <f t="shared" si="0"/>
        <v>0.28143681953150773</v>
      </c>
      <c r="G62" s="59">
        <f t="shared" si="1"/>
        <v>0.71760333397809006</v>
      </c>
      <c r="H62" s="60">
        <f t="shared" ref="H62:H65" si="9">+G62*C62</f>
        <v>0</v>
      </c>
    </row>
    <row r="63" spans="2:8" x14ac:dyDescent="0.3">
      <c r="B63" s="76" t="s">
        <v>102</v>
      </c>
      <c r="C63" s="288"/>
      <c r="D63" s="48">
        <v>18</v>
      </c>
      <c r="E63" s="49">
        <v>12124</v>
      </c>
      <c r="F63" s="55">
        <f t="shared" si="0"/>
        <v>0.28143681953150773</v>
      </c>
      <c r="G63" s="59">
        <f t="shared" si="1"/>
        <v>0.71760333397809006</v>
      </c>
      <c r="H63" s="60">
        <f t="shared" si="9"/>
        <v>0</v>
      </c>
    </row>
    <row r="64" spans="2:8" x14ac:dyDescent="0.3">
      <c r="B64" s="76" t="s">
        <v>103</v>
      </c>
      <c r="C64" s="288"/>
      <c r="D64" s="48">
        <v>18</v>
      </c>
      <c r="E64" s="49">
        <v>12124</v>
      </c>
      <c r="F64" s="55">
        <f t="shared" si="0"/>
        <v>0.28143681953150773</v>
      </c>
      <c r="G64" s="59">
        <f t="shared" si="1"/>
        <v>0.71760333397809006</v>
      </c>
      <c r="H64" s="60">
        <f t="shared" si="9"/>
        <v>0</v>
      </c>
    </row>
    <row r="65" spans="2:8" x14ac:dyDescent="0.3">
      <c r="B65" s="76" t="s">
        <v>104</v>
      </c>
      <c r="C65" s="70"/>
      <c r="D65" s="48">
        <v>18</v>
      </c>
      <c r="E65" s="49">
        <v>12124</v>
      </c>
      <c r="F65" s="56">
        <f t="shared" si="0"/>
        <v>0.28143681953150773</v>
      </c>
      <c r="G65" s="59">
        <f t="shared" si="1"/>
        <v>0.71760333397809006</v>
      </c>
      <c r="H65" s="60">
        <f t="shared" si="9"/>
        <v>0</v>
      </c>
    </row>
    <row r="66" spans="2:8" x14ac:dyDescent="0.3">
      <c r="B66" s="13"/>
      <c r="C66" s="4"/>
      <c r="D66" s="4"/>
      <c r="E66" s="4"/>
      <c r="F66" s="4"/>
      <c r="G66" s="4"/>
    </row>
    <row r="67" spans="2:8" ht="28.8" x14ac:dyDescent="0.3">
      <c r="B67" s="84" t="s">
        <v>164</v>
      </c>
      <c r="C67" s="79" t="s">
        <v>197</v>
      </c>
      <c r="D67" s="99"/>
      <c r="E67" s="99"/>
      <c r="F67" s="4"/>
      <c r="G67" s="99"/>
      <c r="H67" s="9"/>
    </row>
    <row r="68" spans="2:8" x14ac:dyDescent="0.3">
      <c r="B68" s="82" t="s">
        <v>0</v>
      </c>
      <c r="C68" s="83">
        <f>SUM(C69:C131)</f>
        <v>2264298.244752368</v>
      </c>
      <c r="D68" s="31"/>
      <c r="E68" s="31"/>
      <c r="F68" s="9"/>
      <c r="G68" s="31"/>
      <c r="H68" s="9"/>
    </row>
    <row r="69" spans="2:8" x14ac:dyDescent="0.3">
      <c r="B69" s="57" t="s">
        <v>26</v>
      </c>
      <c r="C69" s="78"/>
      <c r="D69" s="30"/>
      <c r="E69" s="30"/>
      <c r="F69" s="4"/>
      <c r="G69" s="30"/>
      <c r="H69" s="9"/>
    </row>
    <row r="70" spans="2:8" x14ac:dyDescent="0.3">
      <c r="B70" s="47" t="s">
        <v>142</v>
      </c>
      <c r="C70" s="49">
        <v>6375.1</v>
      </c>
      <c r="D70" s="30"/>
      <c r="E70" s="30"/>
      <c r="F70" s="4"/>
      <c r="G70" s="30"/>
      <c r="H70" s="9"/>
    </row>
    <row r="71" spans="2:8" x14ac:dyDescent="0.3">
      <c r="B71" s="47" t="s">
        <v>143</v>
      </c>
      <c r="C71" s="49">
        <v>3943.8999999999996</v>
      </c>
      <c r="D71" s="30"/>
      <c r="E71" s="30"/>
      <c r="F71" s="4"/>
      <c r="G71" s="30"/>
      <c r="H71" s="9"/>
    </row>
    <row r="72" spans="2:8" x14ac:dyDescent="0.3">
      <c r="B72" s="47" t="s">
        <v>144</v>
      </c>
      <c r="C72" s="49">
        <v>9101.7499999999982</v>
      </c>
      <c r="D72" s="30"/>
      <c r="E72" s="30"/>
      <c r="F72" s="4"/>
      <c r="G72" s="30"/>
      <c r="H72" s="9"/>
    </row>
    <row r="73" spans="2:8" x14ac:dyDescent="0.3">
      <c r="B73" s="57" t="s">
        <v>27</v>
      </c>
      <c r="C73" s="78"/>
      <c r="D73" s="30"/>
      <c r="E73" s="30"/>
      <c r="F73" s="4"/>
      <c r="G73" s="30"/>
      <c r="H73" s="9"/>
    </row>
    <row r="74" spans="2:8" x14ac:dyDescent="0.3">
      <c r="B74" s="47" t="s">
        <v>125</v>
      </c>
      <c r="C74" s="49">
        <v>7295.7800000000007</v>
      </c>
      <c r="D74" s="30"/>
      <c r="E74" s="30"/>
      <c r="F74" s="4"/>
      <c r="G74" s="30"/>
      <c r="H74" s="9"/>
    </row>
    <row r="75" spans="2:8" x14ac:dyDescent="0.3">
      <c r="B75" s="47" t="s">
        <v>126</v>
      </c>
      <c r="C75" s="49">
        <v>6980.7</v>
      </c>
      <c r="D75" s="30"/>
      <c r="E75" s="30"/>
      <c r="F75" s="4"/>
      <c r="G75" s="30"/>
      <c r="H75" s="9"/>
    </row>
    <row r="76" spans="2:8" x14ac:dyDescent="0.3">
      <c r="B76" s="47" t="s">
        <v>127</v>
      </c>
      <c r="C76" s="49">
        <v>22324.54</v>
      </c>
      <c r="D76" s="30"/>
      <c r="E76" s="30"/>
      <c r="F76" s="4"/>
      <c r="G76" s="30"/>
      <c r="H76" s="9"/>
    </row>
    <row r="77" spans="2:8" x14ac:dyDescent="0.3">
      <c r="B77" s="57" t="s">
        <v>28</v>
      </c>
      <c r="C77" s="78"/>
      <c r="D77" s="30"/>
      <c r="E77" s="30"/>
      <c r="F77" s="4"/>
      <c r="G77" s="30"/>
      <c r="H77" s="9"/>
    </row>
    <row r="78" spans="2:8" x14ac:dyDescent="0.3">
      <c r="B78" s="47" t="s">
        <v>156</v>
      </c>
      <c r="C78" s="49">
        <v>80098.12000000001</v>
      </c>
      <c r="D78" s="30"/>
      <c r="E78" s="30"/>
      <c r="F78" s="4"/>
      <c r="G78" s="30"/>
      <c r="H78" s="9"/>
    </row>
    <row r="79" spans="2:8" x14ac:dyDescent="0.3">
      <c r="B79" s="47" t="s">
        <v>157</v>
      </c>
      <c r="C79" s="49">
        <v>81575.399999999994</v>
      </c>
      <c r="D79" s="30"/>
      <c r="E79" s="30"/>
      <c r="F79" s="4"/>
      <c r="G79" s="30"/>
      <c r="H79" s="9"/>
    </row>
    <row r="80" spans="2:8" x14ac:dyDescent="0.3">
      <c r="B80" s="57" t="s">
        <v>32</v>
      </c>
      <c r="C80" s="78"/>
      <c r="D80" s="30"/>
      <c r="E80" s="30"/>
      <c r="F80" s="4"/>
      <c r="G80" s="30"/>
      <c r="H80" s="9"/>
    </row>
    <row r="81" spans="2:8" x14ac:dyDescent="0.3">
      <c r="B81" s="47" t="s">
        <v>148</v>
      </c>
      <c r="C81" s="49">
        <v>42325.619999999995</v>
      </c>
      <c r="D81" s="30"/>
      <c r="E81" s="30"/>
      <c r="F81" s="4"/>
      <c r="G81" s="30"/>
      <c r="H81" s="9"/>
    </row>
    <row r="82" spans="2:8" x14ac:dyDescent="0.3">
      <c r="B82" s="57" t="s">
        <v>29</v>
      </c>
      <c r="C82" s="78"/>
      <c r="D82" s="30"/>
      <c r="E82" s="30"/>
      <c r="F82" s="4"/>
      <c r="G82" s="30"/>
      <c r="H82" s="9"/>
    </row>
    <row r="83" spans="2:8" x14ac:dyDescent="0.3">
      <c r="B83" s="47" t="s">
        <v>149</v>
      </c>
      <c r="C83" s="49">
        <v>5273.8789999999999</v>
      </c>
      <c r="D83" s="30"/>
      <c r="E83" s="30"/>
      <c r="F83" s="4"/>
      <c r="G83" s="30"/>
      <c r="H83" s="9"/>
    </row>
    <row r="84" spans="2:8" x14ac:dyDescent="0.3">
      <c r="B84" s="47" t="s">
        <v>173</v>
      </c>
      <c r="C84" s="49">
        <v>119762.48675236771</v>
      </c>
      <c r="D84" s="30"/>
      <c r="E84" s="30"/>
      <c r="F84" s="4"/>
      <c r="G84" s="30"/>
      <c r="H84" s="9"/>
    </row>
    <row r="85" spans="2:8" x14ac:dyDescent="0.3">
      <c r="B85" s="57" t="s">
        <v>30</v>
      </c>
      <c r="C85" s="78"/>
      <c r="D85" s="30"/>
      <c r="E85" s="30"/>
      <c r="F85" s="4"/>
      <c r="G85" s="30"/>
      <c r="H85" s="9"/>
    </row>
    <row r="86" spans="2:8" x14ac:dyDescent="0.3">
      <c r="B86" s="47" t="s">
        <v>145</v>
      </c>
      <c r="C86" s="49">
        <v>13858.9</v>
      </c>
      <c r="D86" s="30"/>
      <c r="E86" s="30"/>
      <c r="F86" s="4"/>
      <c r="G86" s="30"/>
      <c r="H86" s="9"/>
    </row>
    <row r="87" spans="2:8" x14ac:dyDescent="0.3">
      <c r="B87" s="47" t="s">
        <v>146</v>
      </c>
      <c r="C87" s="49">
        <v>9926.27</v>
      </c>
      <c r="D87" s="30"/>
      <c r="E87" s="30"/>
      <c r="F87" s="4"/>
      <c r="G87" s="30"/>
      <c r="H87" s="9"/>
    </row>
    <row r="88" spans="2:8" x14ac:dyDescent="0.3">
      <c r="B88" s="47" t="s">
        <v>147</v>
      </c>
      <c r="C88" s="49">
        <v>13581.15</v>
      </c>
      <c r="D88" s="30"/>
      <c r="E88" s="30"/>
      <c r="F88" s="4"/>
      <c r="G88" s="30"/>
      <c r="H88" s="9"/>
    </row>
    <row r="89" spans="2:8" x14ac:dyDescent="0.3">
      <c r="B89" s="57" t="s">
        <v>31</v>
      </c>
      <c r="C89" s="78"/>
      <c r="D89" s="30"/>
      <c r="E89" s="30"/>
      <c r="F89" s="4"/>
      <c r="G89" s="30"/>
      <c r="H89" s="9"/>
    </row>
    <row r="90" spans="2:8" x14ac:dyDescent="0.3">
      <c r="B90" s="47" t="s">
        <v>136</v>
      </c>
      <c r="C90" s="49">
        <v>65835.640000000014</v>
      </c>
      <c r="D90" s="30"/>
      <c r="E90" s="30"/>
      <c r="F90" s="4"/>
      <c r="G90" s="30"/>
      <c r="H90" s="9"/>
    </row>
    <row r="91" spans="2:8" x14ac:dyDescent="0.3">
      <c r="B91" s="47" t="s">
        <v>137</v>
      </c>
      <c r="C91" s="49">
        <v>62954.649999999994</v>
      </c>
      <c r="D91" s="30"/>
      <c r="E91" s="30"/>
      <c r="F91" s="4"/>
      <c r="G91" s="30"/>
      <c r="H91" s="9"/>
    </row>
    <row r="92" spans="2:8" x14ac:dyDescent="0.3">
      <c r="B92" s="57" t="s">
        <v>3</v>
      </c>
      <c r="C92" s="78"/>
      <c r="D92" s="30"/>
      <c r="E92" s="30"/>
      <c r="F92" s="4"/>
      <c r="G92" s="30"/>
      <c r="H92" s="9"/>
    </row>
    <row r="93" spans="2:8" x14ac:dyDescent="0.3">
      <c r="B93" s="47" t="s">
        <v>121</v>
      </c>
      <c r="C93" s="49">
        <v>326422.41800000001</v>
      </c>
      <c r="D93" s="30"/>
      <c r="E93" s="30"/>
      <c r="F93" s="4"/>
      <c r="G93" s="30"/>
      <c r="H93" s="9"/>
    </row>
    <row r="94" spans="2:8" x14ac:dyDescent="0.3">
      <c r="B94" s="57" t="s">
        <v>33</v>
      </c>
      <c r="C94" s="78"/>
      <c r="D94" s="30"/>
      <c r="E94" s="30"/>
      <c r="F94" s="4"/>
      <c r="G94" s="30"/>
      <c r="H94" s="9"/>
    </row>
    <row r="95" spans="2:8" x14ac:dyDescent="0.3">
      <c r="B95" s="47" t="s">
        <v>128</v>
      </c>
      <c r="C95" s="49">
        <v>8969.89</v>
      </c>
      <c r="D95" s="30"/>
      <c r="E95" s="30"/>
      <c r="F95" s="4"/>
      <c r="G95" s="30"/>
      <c r="H95" s="9"/>
    </row>
    <row r="96" spans="2:8" x14ac:dyDescent="0.3">
      <c r="B96" s="47" t="s">
        <v>129</v>
      </c>
      <c r="C96" s="49">
        <v>8904.2599999999984</v>
      </c>
      <c r="D96" s="30"/>
      <c r="E96" s="30"/>
      <c r="F96" s="4"/>
      <c r="G96" s="30"/>
      <c r="H96" s="9"/>
    </row>
    <row r="97" spans="2:8" x14ac:dyDescent="0.3">
      <c r="B97" s="47" t="s">
        <v>130</v>
      </c>
      <c r="C97" s="49">
        <v>8626.3799999999992</v>
      </c>
      <c r="D97" s="30"/>
      <c r="E97" s="30"/>
      <c r="F97" s="4"/>
      <c r="G97" s="30"/>
      <c r="H97" s="9"/>
    </row>
    <row r="98" spans="2:8" x14ac:dyDescent="0.3">
      <c r="B98" s="47" t="s">
        <v>131</v>
      </c>
      <c r="C98" s="49">
        <v>6429.079999999999</v>
      </c>
      <c r="D98" s="30"/>
      <c r="E98" s="30"/>
      <c r="F98" s="4"/>
      <c r="G98" s="30"/>
      <c r="H98" s="9"/>
    </row>
    <row r="99" spans="2:8" x14ac:dyDescent="0.3">
      <c r="B99" s="47" t="s">
        <v>132</v>
      </c>
      <c r="C99" s="49">
        <v>91460.58</v>
      </c>
      <c r="D99" s="30"/>
      <c r="E99" s="30"/>
      <c r="F99" s="4"/>
      <c r="G99" s="30"/>
      <c r="H99" s="9"/>
    </row>
    <row r="100" spans="2:8" x14ac:dyDescent="0.3">
      <c r="B100" s="57" t="s">
        <v>34</v>
      </c>
      <c r="C100" s="78"/>
      <c r="D100" s="30"/>
      <c r="E100" s="30"/>
      <c r="F100" s="4"/>
      <c r="G100" s="30"/>
      <c r="H100" s="9"/>
    </row>
    <row r="101" spans="2:8" x14ac:dyDescent="0.3">
      <c r="B101" s="47" t="s">
        <v>138</v>
      </c>
      <c r="C101" s="49">
        <v>76645.84</v>
      </c>
      <c r="D101" s="30"/>
      <c r="E101" s="30"/>
      <c r="F101" s="4"/>
      <c r="G101" s="30"/>
      <c r="H101" s="9"/>
    </row>
    <row r="102" spans="2:8" x14ac:dyDescent="0.3">
      <c r="B102" s="47" t="s">
        <v>139</v>
      </c>
      <c r="C102" s="49">
        <v>72829.819999999992</v>
      </c>
      <c r="D102" s="30"/>
      <c r="E102" s="30"/>
      <c r="F102" s="4"/>
      <c r="G102" s="30"/>
      <c r="H102" s="9"/>
    </row>
    <row r="103" spans="2:8" x14ac:dyDescent="0.3">
      <c r="B103" s="57" t="s">
        <v>35</v>
      </c>
      <c r="C103" s="78"/>
      <c r="D103" s="30"/>
      <c r="E103" s="30"/>
      <c r="F103" s="4"/>
      <c r="G103" s="30"/>
      <c r="H103" s="9"/>
    </row>
    <row r="104" spans="2:8" x14ac:dyDescent="0.3">
      <c r="B104" s="47" t="s">
        <v>158</v>
      </c>
      <c r="C104" s="49">
        <v>89014.59</v>
      </c>
      <c r="D104" s="30"/>
      <c r="E104" s="30"/>
      <c r="F104" s="4"/>
      <c r="G104" s="30"/>
      <c r="H104" s="9"/>
    </row>
    <row r="105" spans="2:8" x14ac:dyDescent="0.3">
      <c r="B105" s="47" t="s">
        <v>159</v>
      </c>
      <c r="C105" s="49">
        <v>85975.37999999999</v>
      </c>
      <c r="D105" s="30"/>
      <c r="E105" s="30"/>
      <c r="F105" s="4"/>
      <c r="G105" s="30"/>
      <c r="H105" s="9"/>
    </row>
    <row r="106" spans="2:8" x14ac:dyDescent="0.3">
      <c r="B106" s="57" t="s">
        <v>4</v>
      </c>
      <c r="C106" s="78"/>
      <c r="D106" s="30"/>
      <c r="E106" s="30"/>
      <c r="F106" s="4"/>
      <c r="G106" s="30"/>
      <c r="H106" s="9"/>
    </row>
    <row r="107" spans="2:8" x14ac:dyDescent="0.3">
      <c r="B107" s="47" t="s">
        <v>151</v>
      </c>
      <c r="C107" s="49">
        <v>15643.88</v>
      </c>
      <c r="D107" s="30"/>
      <c r="E107" s="30"/>
      <c r="F107" s="4"/>
      <c r="G107" s="30"/>
      <c r="H107" s="9"/>
    </row>
    <row r="108" spans="2:8" x14ac:dyDescent="0.3">
      <c r="B108" s="57" t="s">
        <v>36</v>
      </c>
      <c r="C108" s="78"/>
      <c r="D108" s="30"/>
      <c r="E108" s="30"/>
      <c r="F108" s="4"/>
      <c r="G108" s="30"/>
      <c r="H108" s="9"/>
    </row>
    <row r="109" spans="2:8" x14ac:dyDescent="0.3">
      <c r="B109" s="47" t="s">
        <v>152</v>
      </c>
      <c r="C109" s="49">
        <v>40036.68</v>
      </c>
      <c r="D109" s="30"/>
      <c r="E109" s="30"/>
      <c r="F109" s="4"/>
      <c r="G109" s="30"/>
      <c r="H109" s="9"/>
    </row>
    <row r="110" spans="2:8" x14ac:dyDescent="0.3">
      <c r="B110" s="57" t="s">
        <v>37</v>
      </c>
      <c r="C110" s="78"/>
      <c r="D110" s="30"/>
      <c r="E110" s="30"/>
      <c r="F110" s="4"/>
      <c r="G110" s="30"/>
      <c r="H110" s="9"/>
    </row>
    <row r="111" spans="2:8" x14ac:dyDescent="0.3">
      <c r="B111" s="47" t="s">
        <v>153</v>
      </c>
      <c r="C111" s="49">
        <v>17601.849999999999</v>
      </c>
      <c r="D111" s="30"/>
      <c r="E111" s="30"/>
      <c r="F111" s="4"/>
      <c r="G111" s="30"/>
      <c r="H111" s="9"/>
    </row>
    <row r="112" spans="2:8" x14ac:dyDescent="0.3">
      <c r="B112" s="57" t="s">
        <v>38</v>
      </c>
      <c r="C112" s="78"/>
      <c r="D112" s="30"/>
      <c r="E112" s="30"/>
      <c r="F112" s="4"/>
      <c r="G112" s="30"/>
      <c r="H112" s="9"/>
    </row>
    <row r="113" spans="2:8" x14ac:dyDescent="0.3">
      <c r="B113" s="47" t="s">
        <v>140</v>
      </c>
      <c r="C113" s="49">
        <v>4148</v>
      </c>
      <c r="D113" s="30"/>
      <c r="E113" s="30"/>
      <c r="F113" s="4"/>
      <c r="G113" s="30"/>
      <c r="H113" s="9"/>
    </row>
    <row r="114" spans="2:8" x14ac:dyDescent="0.3">
      <c r="B114" s="47" t="s">
        <v>141</v>
      </c>
      <c r="C114" s="49">
        <v>4241</v>
      </c>
      <c r="D114" s="30"/>
      <c r="E114" s="30"/>
      <c r="F114" s="4"/>
      <c r="G114" s="30"/>
      <c r="H114" s="9"/>
    </row>
    <row r="115" spans="2:8" x14ac:dyDescent="0.3">
      <c r="B115" s="57" t="s">
        <v>39</v>
      </c>
      <c r="C115" s="78"/>
      <c r="D115" s="30"/>
      <c r="E115" s="30"/>
      <c r="F115" s="4"/>
      <c r="G115" s="30"/>
      <c r="H115" s="9"/>
    </row>
    <row r="116" spans="2:8" x14ac:dyDescent="0.3">
      <c r="B116" s="47" t="s">
        <v>154</v>
      </c>
      <c r="C116" s="49">
        <v>17051.010000000002</v>
      </c>
      <c r="D116" s="30"/>
      <c r="E116" s="30"/>
      <c r="F116" s="4"/>
      <c r="G116" s="30"/>
      <c r="H116" s="9"/>
    </row>
    <row r="117" spans="2:8" x14ac:dyDescent="0.3">
      <c r="B117" s="57" t="s">
        <v>5</v>
      </c>
      <c r="C117" s="78"/>
      <c r="D117" s="30"/>
      <c r="E117" s="30"/>
      <c r="F117" s="4"/>
      <c r="G117" s="30"/>
      <c r="H117" s="9"/>
    </row>
    <row r="118" spans="2:8" x14ac:dyDescent="0.3">
      <c r="B118" s="47" t="s">
        <v>155</v>
      </c>
      <c r="C118" s="49">
        <v>4897.1899999999996</v>
      </c>
      <c r="D118" s="30"/>
      <c r="E118" s="30"/>
      <c r="F118" s="4"/>
      <c r="G118" s="30"/>
      <c r="H118" s="9"/>
    </row>
    <row r="119" spans="2:8" x14ac:dyDescent="0.3">
      <c r="B119" s="57" t="s">
        <v>40</v>
      </c>
      <c r="C119" s="78"/>
      <c r="D119" s="30"/>
      <c r="E119" s="30"/>
      <c r="F119" s="4"/>
      <c r="G119" s="30"/>
      <c r="H119" s="9"/>
    </row>
    <row r="120" spans="2:8" x14ac:dyDescent="0.3">
      <c r="B120" s="47" t="s">
        <v>135</v>
      </c>
      <c r="C120" s="49">
        <v>64284.599999999991</v>
      </c>
      <c r="D120" s="30"/>
      <c r="E120" s="30"/>
      <c r="F120" s="4"/>
      <c r="G120" s="30"/>
      <c r="H120" s="9"/>
    </row>
    <row r="121" spans="2:8" x14ac:dyDescent="0.3">
      <c r="B121" s="57" t="s">
        <v>2</v>
      </c>
      <c r="C121" s="78"/>
      <c r="D121" s="30"/>
      <c r="E121" s="30"/>
      <c r="F121" s="4"/>
      <c r="G121" s="30"/>
      <c r="H121" s="9"/>
    </row>
    <row r="122" spans="2:8" x14ac:dyDescent="0.3">
      <c r="B122" s="47" t="s">
        <v>122</v>
      </c>
      <c r="C122" s="49">
        <v>490869.35499999998</v>
      </c>
      <c r="D122" s="30"/>
      <c r="E122" s="30"/>
      <c r="F122" s="4"/>
      <c r="G122" s="30"/>
      <c r="H122" s="9"/>
    </row>
    <row r="123" spans="2:8" x14ac:dyDescent="0.3">
      <c r="B123" s="57" t="s">
        <v>42</v>
      </c>
      <c r="C123" s="78"/>
      <c r="D123" s="30"/>
      <c r="E123" s="30"/>
      <c r="F123" s="4"/>
      <c r="G123" s="30"/>
      <c r="H123" s="9"/>
    </row>
    <row r="124" spans="2:8" x14ac:dyDescent="0.3">
      <c r="B124" s="47" t="s">
        <v>133</v>
      </c>
      <c r="C124" s="49">
        <v>35626.61</v>
      </c>
      <c r="D124" s="30"/>
      <c r="E124" s="30"/>
      <c r="F124" s="4"/>
      <c r="G124" s="30"/>
      <c r="H124" s="9"/>
    </row>
    <row r="125" spans="2:8" x14ac:dyDescent="0.3">
      <c r="B125" s="47" t="s">
        <v>134</v>
      </c>
      <c r="C125" s="49">
        <v>22743.23</v>
      </c>
      <c r="D125" s="30"/>
      <c r="E125" s="30"/>
      <c r="F125" s="4"/>
      <c r="G125" s="30"/>
      <c r="H125" s="9"/>
    </row>
    <row r="126" spans="2:8" x14ac:dyDescent="0.3">
      <c r="B126" s="57" t="s">
        <v>43</v>
      </c>
      <c r="C126" s="78"/>
      <c r="D126" s="30"/>
      <c r="E126" s="30"/>
      <c r="F126" s="4"/>
      <c r="G126" s="30"/>
      <c r="H126" s="9"/>
    </row>
    <row r="127" spans="2:8" x14ac:dyDescent="0.3">
      <c r="B127" s="47" t="s">
        <v>124</v>
      </c>
      <c r="C127" s="49">
        <v>12186.210000000001</v>
      </c>
      <c r="D127" s="30"/>
      <c r="E127" s="30"/>
      <c r="F127" s="4"/>
      <c r="G127" s="30"/>
      <c r="H127" s="9"/>
    </row>
    <row r="128" spans="2:8" x14ac:dyDescent="0.3">
      <c r="B128" s="57" t="s">
        <v>46</v>
      </c>
      <c r="C128" s="78"/>
      <c r="D128" s="30"/>
      <c r="E128" s="30"/>
      <c r="F128" s="4"/>
      <c r="G128" s="30"/>
      <c r="H128" s="9"/>
    </row>
    <row r="129" spans="2:8" x14ac:dyDescent="0.3">
      <c r="B129" s="47" t="s">
        <v>150</v>
      </c>
      <c r="C129" s="49">
        <v>197753.89600000007</v>
      </c>
      <c r="D129" s="30"/>
      <c r="E129" s="30"/>
      <c r="F129" s="4"/>
      <c r="G129" s="30"/>
      <c r="H129" s="9"/>
    </row>
    <row r="130" spans="2:8" x14ac:dyDescent="0.3">
      <c r="B130" s="57" t="s">
        <v>1</v>
      </c>
      <c r="C130" s="78"/>
      <c r="D130" s="30"/>
      <c r="E130" s="30"/>
      <c r="F130" s="4"/>
      <c r="G130" s="30"/>
      <c r="H130" s="9"/>
    </row>
    <row r="131" spans="2:8" x14ac:dyDescent="0.3">
      <c r="B131" s="47" t="s">
        <v>123</v>
      </c>
      <c r="C131" s="49">
        <v>10722.61</v>
      </c>
      <c r="D131" s="30"/>
      <c r="E131" s="30"/>
      <c r="F131" s="4"/>
      <c r="G131" s="30"/>
      <c r="H131" s="9"/>
    </row>
    <row r="132" spans="2:8" x14ac:dyDescent="0.3">
      <c r="F132" s="9"/>
    </row>
    <row r="133" spans="2:8" ht="28.8" x14ac:dyDescent="0.3">
      <c r="B133" s="84" t="s">
        <v>164</v>
      </c>
      <c r="C133" s="79" t="s">
        <v>165</v>
      </c>
      <c r="D133" s="99"/>
      <c r="E133" s="99"/>
      <c r="F133" s="4"/>
    </row>
    <row r="134" spans="2:8" x14ac:dyDescent="0.3">
      <c r="B134" s="7" t="s">
        <v>12</v>
      </c>
      <c r="C134" s="85">
        <f>+SUM(C135:C136)</f>
        <v>59670.27</v>
      </c>
      <c r="D134" s="31"/>
      <c r="E134" s="31"/>
      <c r="F134" s="14"/>
    </row>
    <row r="135" spans="2:8" x14ac:dyDescent="0.3">
      <c r="B135" s="57" t="s">
        <v>13</v>
      </c>
      <c r="C135" s="78"/>
      <c r="D135" s="30"/>
      <c r="E135" s="30"/>
      <c r="F135" s="4"/>
    </row>
    <row r="136" spans="2:8" x14ac:dyDescent="0.3">
      <c r="B136" s="47" t="s">
        <v>191</v>
      </c>
      <c r="C136" s="49">
        <v>59670.27</v>
      </c>
    </row>
  </sheetData>
  <pageMargins left="0.7" right="0.7" top="0.75" bottom="0.75" header="0.3" footer="0.3"/>
  <pageSetup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G128"/>
  <sheetViews>
    <sheetView zoomScaleNormal="100" workbookViewId="0"/>
  </sheetViews>
  <sheetFormatPr baseColWidth="10" defaultColWidth="9.109375" defaultRowHeight="14.4" x14ac:dyDescent="0.3"/>
  <cols>
    <col min="1" max="1" width="9.109375" style="1"/>
    <col min="2" max="2" width="30.5546875" style="1" bestFit="1" customWidth="1"/>
    <col min="3" max="3" width="25.88671875" style="1" customWidth="1"/>
    <col min="4" max="4" width="15.33203125" style="1" customWidth="1"/>
    <col min="5" max="5" width="16.88671875" style="1" customWidth="1"/>
    <col min="6" max="16384" width="9.109375" style="1"/>
  </cols>
  <sheetData>
    <row r="3" spans="2:7" ht="23.4" x14ac:dyDescent="0.45">
      <c r="B3" s="286" t="s">
        <v>356</v>
      </c>
      <c r="D3" s="286">
        <v>2008</v>
      </c>
    </row>
    <row r="4" spans="2:7" x14ac:dyDescent="0.3">
      <c r="D4" s="9"/>
      <c r="E4" s="9"/>
      <c r="F4" s="9"/>
      <c r="G4" s="9"/>
    </row>
    <row r="5" spans="2:7" x14ac:dyDescent="0.3">
      <c r="D5" s="9"/>
      <c r="E5" s="9"/>
      <c r="F5" s="9"/>
      <c r="G5" s="9"/>
    </row>
    <row r="6" spans="2:7" x14ac:dyDescent="0.3">
      <c r="B6" s="86" t="s">
        <v>160</v>
      </c>
      <c r="C6" s="87">
        <f>+C17+C60+C126</f>
        <v>5360464.508835</v>
      </c>
      <c r="D6" s="32"/>
      <c r="E6" s="9"/>
      <c r="F6" s="9"/>
      <c r="G6" s="9"/>
    </row>
    <row r="7" spans="2:7" x14ac:dyDescent="0.3">
      <c r="B7" s="88" t="s">
        <v>161</v>
      </c>
      <c r="C7" s="90">
        <f>+C60+C126</f>
        <v>2316679.21</v>
      </c>
      <c r="D7" s="32"/>
      <c r="E7" s="9"/>
      <c r="F7" s="9"/>
      <c r="G7" s="9"/>
    </row>
    <row r="8" spans="2:7" x14ac:dyDescent="0.3">
      <c r="B8" s="88" t="s">
        <v>76</v>
      </c>
      <c r="C8" s="91">
        <f>+C7/C6</f>
        <v>0.43217881700022454</v>
      </c>
      <c r="D8" s="32"/>
      <c r="E8" s="9"/>
      <c r="F8" s="9"/>
      <c r="G8" s="9"/>
    </row>
    <row r="9" spans="2:7" x14ac:dyDescent="0.3">
      <c r="B9" s="88" t="s">
        <v>162</v>
      </c>
      <c r="C9" s="90">
        <f>+C17</f>
        <v>3043785.2988349996</v>
      </c>
      <c r="D9" s="32"/>
      <c r="E9" s="9"/>
      <c r="F9" s="9"/>
      <c r="G9" s="9"/>
    </row>
    <row r="10" spans="2:7" x14ac:dyDescent="0.3">
      <c r="B10" s="89" t="s">
        <v>77</v>
      </c>
      <c r="C10" s="92">
        <f>+C9/C6</f>
        <v>0.56782118299977535</v>
      </c>
      <c r="D10" s="33"/>
      <c r="E10" s="9"/>
      <c r="F10" s="9"/>
      <c r="G10" s="9"/>
    </row>
    <row r="11" spans="2:7" ht="15" thickBot="1" x14ac:dyDescent="0.35">
      <c r="B11" s="93"/>
      <c r="C11" s="94"/>
      <c r="D11" s="33"/>
      <c r="E11" s="9"/>
      <c r="F11" s="9"/>
      <c r="G11" s="9"/>
    </row>
    <row r="12" spans="2:7" ht="16.2" thickBot="1" x14ac:dyDescent="0.4">
      <c r="B12" s="96" t="s">
        <v>166</v>
      </c>
      <c r="C12" s="97">
        <f>+E17/C6</f>
        <v>0.34053725577278143</v>
      </c>
      <c r="D12" s="33"/>
      <c r="E12" s="9"/>
      <c r="F12" s="9"/>
      <c r="G12" s="9"/>
    </row>
    <row r="13" spans="2:7" ht="15" thickBot="1" x14ac:dyDescent="0.35">
      <c r="B13" s="93"/>
      <c r="C13" s="95"/>
      <c r="D13" s="33"/>
      <c r="E13" s="9"/>
      <c r="F13" s="9"/>
      <c r="G13" s="9"/>
    </row>
    <row r="14" spans="2:7" ht="16.2" thickBot="1" x14ac:dyDescent="0.4">
      <c r="B14" s="96" t="s">
        <v>166</v>
      </c>
      <c r="C14" s="97">
        <f>+E17/C9</f>
        <v>0.59972622714379453</v>
      </c>
      <c r="D14" s="33"/>
      <c r="E14" s="9"/>
      <c r="F14" s="9"/>
      <c r="G14" s="9"/>
    </row>
    <row r="15" spans="2:7" x14ac:dyDescent="0.3">
      <c r="B15" s="34"/>
      <c r="C15" s="33"/>
      <c r="D15" s="33"/>
      <c r="E15" s="9"/>
      <c r="F15" s="9"/>
      <c r="G15" s="9"/>
    </row>
    <row r="16" spans="2:7" ht="30" x14ac:dyDescent="0.35">
      <c r="B16" s="81" t="s">
        <v>163</v>
      </c>
      <c r="C16" s="79" t="s">
        <v>358</v>
      </c>
      <c r="D16" s="79" t="s">
        <v>357</v>
      </c>
      <c r="E16" s="80" t="s">
        <v>208</v>
      </c>
    </row>
    <row r="17" spans="2:5" x14ac:dyDescent="0.3">
      <c r="B17" s="16" t="s">
        <v>15</v>
      </c>
      <c r="C17" s="58">
        <f>SUM(C18:C57)</f>
        <v>3043785.2988349996</v>
      </c>
      <c r="D17" s="17"/>
      <c r="E17" s="74">
        <f>SUM(E18:E57)</f>
        <v>1825437.8735060615</v>
      </c>
    </row>
    <row r="18" spans="2:5" x14ac:dyDescent="0.3">
      <c r="B18" s="75" t="s">
        <v>19</v>
      </c>
      <c r="C18" s="61"/>
      <c r="D18" s="62"/>
      <c r="E18" s="63"/>
    </row>
    <row r="19" spans="2:5" x14ac:dyDescent="0.3">
      <c r="B19" s="76" t="s">
        <v>87</v>
      </c>
      <c r="C19" s="49">
        <v>1688.5209240000002</v>
      </c>
      <c r="D19" s="59">
        <f>+Unit_EF_2008!J13</f>
        <v>0.61397553641681413</v>
      </c>
      <c r="E19" s="60">
        <f>+D19*C19</f>
        <v>1036.7105400639148</v>
      </c>
    </row>
    <row r="20" spans="2:5" x14ac:dyDescent="0.3">
      <c r="B20" s="76" t="s">
        <v>88</v>
      </c>
      <c r="C20" s="49">
        <v>1476.1726490000001</v>
      </c>
      <c r="D20" s="59">
        <f>+Unit_EF_2008!J14</f>
        <v>0.60378353760396697</v>
      </c>
      <c r="E20" s="60">
        <f t="shared" ref="E20:E53" si="0">+D20*C20</f>
        <v>891.28874412743914</v>
      </c>
    </row>
    <row r="21" spans="2:5" x14ac:dyDescent="0.3">
      <c r="B21" s="76" t="s">
        <v>89</v>
      </c>
      <c r="C21" s="49">
        <v>1166.968429</v>
      </c>
      <c r="D21" s="59">
        <f>+Unit_EF_2008!J15</f>
        <v>0.60378353760396697</v>
      </c>
      <c r="E21" s="60">
        <f t="shared" si="0"/>
        <v>704.59632633376373</v>
      </c>
    </row>
    <row r="22" spans="2:5" x14ac:dyDescent="0.3">
      <c r="B22" s="76" t="s">
        <v>90</v>
      </c>
      <c r="C22" s="49">
        <v>507.25624499999998</v>
      </c>
      <c r="D22" s="59">
        <f>+Unit_EF_2008!J16</f>
        <v>0.60378353760396697</v>
      </c>
      <c r="E22" s="60">
        <f t="shared" si="0"/>
        <v>306.27297007780459</v>
      </c>
    </row>
    <row r="23" spans="2:5" x14ac:dyDescent="0.3">
      <c r="B23" s="76" t="s">
        <v>91</v>
      </c>
      <c r="C23" s="49">
        <v>262.66900000000004</v>
      </c>
      <c r="D23" s="59">
        <f>+Unit_EF_2008!J17</f>
        <v>0.60378353760396697</v>
      </c>
      <c r="E23" s="60">
        <f t="shared" si="0"/>
        <v>158.59521803889643</v>
      </c>
    </row>
    <row r="24" spans="2:5" x14ac:dyDescent="0.3">
      <c r="B24" s="76" t="s">
        <v>92</v>
      </c>
      <c r="C24" s="49">
        <v>119290.033803</v>
      </c>
      <c r="D24" s="59">
        <f>+Unit_EF_2008!J18</f>
        <v>0.64213779036030172</v>
      </c>
      <c r="E24" s="60">
        <f t="shared" si="0"/>
        <v>76600.638718264119</v>
      </c>
    </row>
    <row r="25" spans="2:5" x14ac:dyDescent="0.3">
      <c r="B25" s="76" t="s">
        <v>93</v>
      </c>
      <c r="C25" s="49">
        <v>10227.266529</v>
      </c>
      <c r="D25" s="59">
        <f>+Unit_EF_2008!J19</f>
        <v>0.6080747155743903</v>
      </c>
      <c r="E25" s="60">
        <f t="shared" si="0"/>
        <v>6218.9421857251573</v>
      </c>
    </row>
    <row r="26" spans="2:5" x14ac:dyDescent="0.3">
      <c r="B26" s="76" t="s">
        <v>94</v>
      </c>
      <c r="C26" s="49">
        <v>10111.723778</v>
      </c>
      <c r="D26" s="59">
        <f>+Unit_EF_2008!J20</f>
        <v>0.53565738803214413</v>
      </c>
      <c r="E26" s="60">
        <f t="shared" si="0"/>
        <v>5416.4195474260041</v>
      </c>
    </row>
    <row r="27" spans="2:5" x14ac:dyDescent="0.3">
      <c r="B27" s="76" t="s">
        <v>95</v>
      </c>
      <c r="C27" s="49">
        <v>10451.810779000001</v>
      </c>
      <c r="D27" s="59">
        <f>+Unit_EF_2008!J21</f>
        <v>0.53565738803214413</v>
      </c>
      <c r="E27" s="60">
        <f t="shared" si="0"/>
        <v>5598.58966208535</v>
      </c>
    </row>
    <row r="28" spans="2:5" x14ac:dyDescent="0.3">
      <c r="B28" s="76" t="s">
        <v>96</v>
      </c>
      <c r="C28" s="49">
        <v>5931.5519999999997</v>
      </c>
      <c r="D28" s="59">
        <f>+Unit_EF_2008!J22</f>
        <v>0.53565738803214413</v>
      </c>
      <c r="E28" s="60">
        <f t="shared" si="0"/>
        <v>3177.2796512968403</v>
      </c>
    </row>
    <row r="29" spans="2:5" x14ac:dyDescent="0.3">
      <c r="B29" s="76" t="s">
        <v>97</v>
      </c>
      <c r="C29" s="66"/>
      <c r="D29" s="29"/>
      <c r="E29" s="67"/>
    </row>
    <row r="30" spans="2:5" x14ac:dyDescent="0.3">
      <c r="B30" s="76" t="s">
        <v>98</v>
      </c>
      <c r="C30" s="70"/>
      <c r="D30" s="43"/>
      <c r="E30" s="71"/>
    </row>
    <row r="31" spans="2:5" x14ac:dyDescent="0.3">
      <c r="B31" s="76" t="s">
        <v>99</v>
      </c>
      <c r="C31" s="49">
        <v>2116.11598</v>
      </c>
      <c r="D31" s="59">
        <f>+Unit_EF_2008!J25</f>
        <v>0.53565738803214413</v>
      </c>
      <c r="E31" s="60">
        <f t="shared" si="0"/>
        <v>1133.5131586198809</v>
      </c>
    </row>
    <row r="32" spans="2:5" x14ac:dyDescent="0.3">
      <c r="B32" s="77" t="s">
        <v>20</v>
      </c>
      <c r="C32" s="61"/>
      <c r="D32" s="64"/>
      <c r="E32" s="65">
        <f t="shared" si="0"/>
        <v>0</v>
      </c>
    </row>
    <row r="33" spans="2:5" x14ac:dyDescent="0.3">
      <c r="B33" s="76" t="s">
        <v>113</v>
      </c>
      <c r="C33" s="49">
        <v>322794</v>
      </c>
      <c r="D33" s="59">
        <f>+Unit_EF_2008!J27</f>
        <v>0.50527880743463038</v>
      </c>
      <c r="E33" s="60">
        <f t="shared" si="0"/>
        <v>163100.96736705408</v>
      </c>
    </row>
    <row r="34" spans="2:5" x14ac:dyDescent="0.3">
      <c r="B34" s="76" t="s">
        <v>114</v>
      </c>
      <c r="C34" s="49">
        <v>310832</v>
      </c>
      <c r="D34" s="59">
        <f>+Unit_EF_2008!J28</f>
        <v>0.51381677187923125</v>
      </c>
      <c r="E34" s="60">
        <f t="shared" si="0"/>
        <v>159710.69483676521</v>
      </c>
    </row>
    <row r="35" spans="2:5" x14ac:dyDescent="0.3">
      <c r="B35" s="77" t="s">
        <v>18</v>
      </c>
      <c r="C35" s="61">
        <v>664563.12</v>
      </c>
      <c r="D35" s="64">
        <f>+Unit_EF_2008!J29</f>
        <v>0.58182454412773221</v>
      </c>
      <c r="E35" s="65">
        <f t="shared" si="0"/>
        <v>386659.13433810341</v>
      </c>
    </row>
    <row r="36" spans="2:5" x14ac:dyDescent="0.3">
      <c r="B36" s="76" t="s">
        <v>105</v>
      </c>
      <c r="C36" s="66"/>
      <c r="D36" s="72"/>
      <c r="E36" s="67"/>
    </row>
    <row r="37" spans="2:5" x14ac:dyDescent="0.3">
      <c r="B37" s="76" t="s">
        <v>106</v>
      </c>
      <c r="C37" s="70"/>
      <c r="D37" s="73"/>
      <c r="E37" s="71"/>
    </row>
    <row r="38" spans="2:5" x14ac:dyDescent="0.3">
      <c r="B38" s="77" t="s">
        <v>16</v>
      </c>
      <c r="C38" s="61"/>
      <c r="D38" s="62"/>
      <c r="E38" s="65"/>
    </row>
    <row r="39" spans="2:5" x14ac:dyDescent="0.3">
      <c r="B39" s="76" t="s">
        <v>78</v>
      </c>
      <c r="C39" s="49">
        <v>18837.2</v>
      </c>
      <c r="D39" s="59">
        <f>+Unit_EF_2008!J33</f>
        <v>0.67814247801576399</v>
      </c>
      <c r="E39" s="60">
        <f t="shared" si="0"/>
        <v>12774.305486878549</v>
      </c>
    </row>
    <row r="40" spans="2:5" x14ac:dyDescent="0.3">
      <c r="B40" s="76" t="s">
        <v>79</v>
      </c>
      <c r="C40" s="49">
        <v>12728.324999999999</v>
      </c>
      <c r="D40" s="59">
        <f>+Unit_EF_2008!J34</f>
        <v>0.72701433118219061</v>
      </c>
      <c r="E40" s="60">
        <f t="shared" si="0"/>
        <v>9253.674686944556</v>
      </c>
    </row>
    <row r="41" spans="2:5" x14ac:dyDescent="0.3">
      <c r="B41" s="76" t="s">
        <v>80</v>
      </c>
      <c r="C41" s="49">
        <v>4707.2579999999998</v>
      </c>
      <c r="D41" s="59">
        <f>+Unit_EF_2008!J35</f>
        <v>0.73408737625068132</v>
      </c>
      <c r="E41" s="60">
        <f t="shared" si="0"/>
        <v>3455.5386745550295</v>
      </c>
    </row>
    <row r="42" spans="2:5" x14ac:dyDescent="0.3">
      <c r="B42" s="76" t="s">
        <v>81</v>
      </c>
      <c r="C42" s="49">
        <v>8419.2620000000279</v>
      </c>
      <c r="D42" s="59">
        <f>+Unit_EF_2008!J36</f>
        <v>0.75400436089961143</v>
      </c>
      <c r="E42" s="60">
        <f t="shared" si="0"/>
        <v>6348.160263556405</v>
      </c>
    </row>
    <row r="43" spans="2:5" x14ac:dyDescent="0.3">
      <c r="B43" s="76" t="s">
        <v>118</v>
      </c>
      <c r="C43" s="49">
        <v>44315.944999999992</v>
      </c>
      <c r="D43" s="59">
        <f>+Unit_EF_2008!J37</f>
        <v>0.73050646222019022</v>
      </c>
      <c r="E43" s="60">
        <f t="shared" si="0"/>
        <v>32373.084201894522</v>
      </c>
    </row>
    <row r="44" spans="2:5" x14ac:dyDescent="0.3">
      <c r="B44" s="76" t="s">
        <v>119</v>
      </c>
      <c r="C44" s="49">
        <v>70924.000000000015</v>
      </c>
      <c r="D44" s="59">
        <f>+Unit_EF_2008!J38</f>
        <v>0.69611784979514324</v>
      </c>
      <c r="E44" s="60">
        <f t="shared" si="0"/>
        <v>49371.462378870747</v>
      </c>
    </row>
    <row r="45" spans="2:5" x14ac:dyDescent="0.3">
      <c r="B45" s="76" t="s">
        <v>82</v>
      </c>
      <c r="C45" s="49">
        <v>383101.16399999993</v>
      </c>
      <c r="D45" s="59">
        <f>+Unit_EF_2008!J39</f>
        <v>0.64870773180467389</v>
      </c>
      <c r="E45" s="60">
        <f t="shared" si="0"/>
        <v>248520.68715017036</v>
      </c>
    </row>
    <row r="46" spans="2:5" x14ac:dyDescent="0.3">
      <c r="B46" s="76" t="s">
        <v>83</v>
      </c>
      <c r="C46" s="49">
        <v>353846.016</v>
      </c>
      <c r="D46" s="59">
        <f>+Unit_EF_2008!J40</f>
        <v>0.59602982292637463</v>
      </c>
      <c r="E46" s="60">
        <f t="shared" si="0"/>
        <v>210902.77825968314</v>
      </c>
    </row>
    <row r="47" spans="2:5" x14ac:dyDescent="0.3">
      <c r="B47" s="76" t="s">
        <v>84</v>
      </c>
      <c r="C47" s="49">
        <v>391554.18374999997</v>
      </c>
      <c r="D47" s="59">
        <f>+Unit_EF_2008!J41</f>
        <v>0.59602982292637463</v>
      </c>
      <c r="E47" s="60">
        <f t="shared" si="0"/>
        <v>233377.97080659363</v>
      </c>
    </row>
    <row r="48" spans="2:5" x14ac:dyDescent="0.3">
      <c r="B48" s="77" t="s">
        <v>21</v>
      </c>
      <c r="C48" s="61"/>
      <c r="D48" s="62"/>
      <c r="E48" s="65">
        <f t="shared" si="0"/>
        <v>0</v>
      </c>
    </row>
    <row r="49" spans="2:5" x14ac:dyDescent="0.3">
      <c r="B49" s="76" t="s">
        <v>100</v>
      </c>
      <c r="C49" s="49">
        <v>78411.454968999999</v>
      </c>
      <c r="D49" s="59">
        <f>+Unit_EF_2008!J43</f>
        <v>0.68416174013961917</v>
      </c>
      <c r="E49" s="60">
        <f t="shared" si="0"/>
        <v>53646.117478470427</v>
      </c>
    </row>
    <row r="50" spans="2:5" x14ac:dyDescent="0.3">
      <c r="B50" s="77" t="s">
        <v>22</v>
      </c>
      <c r="C50" s="61"/>
      <c r="D50" s="62"/>
      <c r="E50" s="65">
        <f t="shared" si="0"/>
        <v>0</v>
      </c>
    </row>
    <row r="51" spans="2:5" x14ac:dyDescent="0.3">
      <c r="B51" s="76" t="s">
        <v>111</v>
      </c>
      <c r="C51" s="49">
        <v>33335.079999999994</v>
      </c>
      <c r="D51" s="59">
        <f>+Unit_EF_2008!J45</f>
        <v>0.71884629587297122</v>
      </c>
      <c r="E51" s="60">
        <f t="shared" si="0"/>
        <v>23962.79878062916</v>
      </c>
    </row>
    <row r="52" spans="2:5" x14ac:dyDescent="0.3">
      <c r="B52" s="76" t="s">
        <v>112</v>
      </c>
      <c r="C52" s="49">
        <v>183.07</v>
      </c>
      <c r="D52" s="59">
        <f>+Unit_EF_2008!J46</f>
        <v>0.71884629587297122</v>
      </c>
      <c r="E52" s="60">
        <f t="shared" si="0"/>
        <v>131.59919138546485</v>
      </c>
    </row>
    <row r="53" spans="2:5" x14ac:dyDescent="0.3">
      <c r="B53" s="77" t="s">
        <v>45</v>
      </c>
      <c r="C53" s="61">
        <v>182003.13</v>
      </c>
      <c r="D53" s="64">
        <f>+Unit_EF_2008!J50</f>
        <v>0.71760333397809006</v>
      </c>
      <c r="E53" s="65">
        <f t="shared" si="0"/>
        <v>130606.05288244775</v>
      </c>
    </row>
    <row r="54" spans="2:5" x14ac:dyDescent="0.3">
      <c r="B54" s="76" t="s">
        <v>101</v>
      </c>
      <c r="C54" s="66"/>
      <c r="D54" s="18"/>
      <c r="E54" s="67"/>
    </row>
    <row r="55" spans="2:5" x14ac:dyDescent="0.3">
      <c r="B55" s="76" t="s">
        <v>102</v>
      </c>
      <c r="C55" s="68"/>
      <c r="D55" s="4"/>
      <c r="E55" s="69"/>
    </row>
    <row r="56" spans="2:5" x14ac:dyDescent="0.3">
      <c r="B56" s="76" t="s">
        <v>103</v>
      </c>
      <c r="C56" s="68"/>
      <c r="D56" s="4"/>
      <c r="E56" s="69"/>
    </row>
    <row r="57" spans="2:5" x14ac:dyDescent="0.3">
      <c r="B57" s="76" t="s">
        <v>104</v>
      </c>
      <c r="C57" s="70"/>
      <c r="D57" s="6"/>
      <c r="E57" s="71"/>
    </row>
    <row r="58" spans="2:5" x14ac:dyDescent="0.3">
      <c r="B58" s="13"/>
      <c r="C58" s="4"/>
      <c r="D58" s="4"/>
    </row>
    <row r="59" spans="2:5" ht="28.8" x14ac:dyDescent="0.3">
      <c r="B59" s="84" t="s">
        <v>164</v>
      </c>
      <c r="C59" s="79" t="s">
        <v>358</v>
      </c>
      <c r="D59" s="4"/>
    </row>
    <row r="60" spans="2:5" x14ac:dyDescent="0.3">
      <c r="B60" s="82" t="s">
        <v>0</v>
      </c>
      <c r="C60" s="83">
        <f>SUM(C61:C123)</f>
        <v>2277361</v>
      </c>
    </row>
    <row r="61" spans="2:5" x14ac:dyDescent="0.3">
      <c r="B61" s="57" t="s">
        <v>26</v>
      </c>
      <c r="C61" s="78"/>
      <c r="D61" s="4"/>
    </row>
    <row r="62" spans="2:5" x14ac:dyDescent="0.3">
      <c r="B62" s="47" t="s">
        <v>142</v>
      </c>
      <c r="C62" s="49">
        <v>7353</v>
      </c>
      <c r="D62" s="4"/>
    </row>
    <row r="63" spans="2:5" x14ac:dyDescent="0.3">
      <c r="B63" s="47" t="s">
        <v>143</v>
      </c>
      <c r="C63" s="49">
        <v>4765</v>
      </c>
      <c r="D63" s="4"/>
    </row>
    <row r="64" spans="2:5" x14ac:dyDescent="0.3">
      <c r="B64" s="47" t="s">
        <v>144</v>
      </c>
      <c r="C64" s="49">
        <v>0</v>
      </c>
      <c r="D64" s="4"/>
    </row>
    <row r="65" spans="2:4" x14ac:dyDescent="0.3">
      <c r="B65" s="57" t="s">
        <v>27</v>
      </c>
      <c r="C65" s="78"/>
      <c r="D65" s="4"/>
    </row>
    <row r="66" spans="2:4" x14ac:dyDescent="0.3">
      <c r="B66" s="47" t="s">
        <v>125</v>
      </c>
      <c r="C66" s="49">
        <v>8233</v>
      </c>
      <c r="D66" s="4"/>
    </row>
    <row r="67" spans="2:4" x14ac:dyDescent="0.3">
      <c r="B67" s="47" t="s">
        <v>126</v>
      </c>
      <c r="C67" s="49">
        <v>7921</v>
      </c>
      <c r="D67" s="4"/>
    </row>
    <row r="68" spans="2:4" x14ac:dyDescent="0.3">
      <c r="B68" s="47" t="s">
        <v>127</v>
      </c>
      <c r="C68" s="49">
        <v>19375</v>
      </c>
      <c r="D68" s="4"/>
    </row>
    <row r="69" spans="2:4" x14ac:dyDescent="0.3">
      <c r="B69" s="57" t="s">
        <v>28</v>
      </c>
      <c r="C69" s="78"/>
      <c r="D69" s="4"/>
    </row>
    <row r="70" spans="2:4" x14ac:dyDescent="0.3">
      <c r="B70" s="47" t="s">
        <v>156</v>
      </c>
      <c r="C70" s="49">
        <v>75324</v>
      </c>
      <c r="D70" s="4"/>
    </row>
    <row r="71" spans="2:4" x14ac:dyDescent="0.3">
      <c r="B71" s="47" t="s">
        <v>157</v>
      </c>
      <c r="C71" s="49">
        <v>69349</v>
      </c>
      <c r="D71" s="4"/>
    </row>
    <row r="72" spans="2:4" x14ac:dyDescent="0.3">
      <c r="B72" s="57" t="s">
        <v>32</v>
      </c>
      <c r="C72" s="78"/>
      <c r="D72" s="4"/>
    </row>
    <row r="73" spans="2:4" x14ac:dyDescent="0.3">
      <c r="B73" s="47" t="s">
        <v>148</v>
      </c>
      <c r="C73" s="49">
        <v>42241</v>
      </c>
      <c r="D73" s="4"/>
    </row>
    <row r="74" spans="2:4" x14ac:dyDescent="0.3">
      <c r="B74" s="57" t="s">
        <v>29</v>
      </c>
      <c r="C74" s="78"/>
      <c r="D74" s="4"/>
    </row>
    <row r="75" spans="2:4" x14ac:dyDescent="0.3">
      <c r="B75" s="47" t="s">
        <v>149</v>
      </c>
      <c r="C75" s="49">
        <v>3684</v>
      </c>
      <c r="D75" s="4"/>
    </row>
    <row r="76" spans="2:4" x14ac:dyDescent="0.3">
      <c r="B76" s="47" t="s">
        <v>173</v>
      </c>
      <c r="C76" s="49">
        <v>115487</v>
      </c>
      <c r="D76" s="4"/>
    </row>
    <row r="77" spans="2:4" x14ac:dyDescent="0.3">
      <c r="B77" s="57" t="s">
        <v>30</v>
      </c>
      <c r="C77" s="78"/>
      <c r="D77" s="4"/>
    </row>
    <row r="78" spans="2:4" x14ac:dyDescent="0.3">
      <c r="B78" s="47" t="s">
        <v>145</v>
      </c>
      <c r="C78" s="49">
        <v>12757</v>
      </c>
      <c r="D78" s="4"/>
    </row>
    <row r="79" spans="2:4" x14ac:dyDescent="0.3">
      <c r="B79" s="47" t="s">
        <v>146</v>
      </c>
      <c r="C79" s="49">
        <v>10027</v>
      </c>
      <c r="D79" s="4"/>
    </row>
    <row r="80" spans="2:4" x14ac:dyDescent="0.3">
      <c r="B80" s="47" t="s">
        <v>147</v>
      </c>
      <c r="C80" s="49">
        <v>13598</v>
      </c>
      <c r="D80" s="4"/>
    </row>
    <row r="81" spans="2:4" x14ac:dyDescent="0.3">
      <c r="B81" s="57" t="s">
        <v>31</v>
      </c>
      <c r="C81" s="78"/>
      <c r="D81" s="4"/>
    </row>
    <row r="82" spans="2:4" x14ac:dyDescent="0.3">
      <c r="B82" s="47" t="s">
        <v>136</v>
      </c>
      <c r="C82" s="49">
        <v>63260</v>
      </c>
      <c r="D82" s="4"/>
    </row>
    <row r="83" spans="2:4" x14ac:dyDescent="0.3">
      <c r="B83" s="47" t="s">
        <v>137</v>
      </c>
      <c r="C83" s="49">
        <v>61634</v>
      </c>
      <c r="D83" s="4"/>
    </row>
    <row r="84" spans="2:4" x14ac:dyDescent="0.3">
      <c r="B84" s="57" t="s">
        <v>3</v>
      </c>
      <c r="C84" s="78"/>
      <c r="D84" s="4"/>
    </row>
    <row r="85" spans="2:4" x14ac:dyDescent="0.3">
      <c r="B85" s="47" t="s">
        <v>121</v>
      </c>
      <c r="C85" s="49">
        <v>345890</v>
      </c>
      <c r="D85" s="4"/>
    </row>
    <row r="86" spans="2:4" x14ac:dyDescent="0.3">
      <c r="B86" s="57" t="s">
        <v>33</v>
      </c>
      <c r="C86" s="78"/>
      <c r="D86" s="4"/>
    </row>
    <row r="87" spans="2:4" x14ac:dyDescent="0.3">
      <c r="B87" s="47" t="s">
        <v>128</v>
      </c>
      <c r="C87" s="49">
        <v>6715</v>
      </c>
      <c r="D87" s="4"/>
    </row>
    <row r="88" spans="2:4" x14ac:dyDescent="0.3">
      <c r="B88" s="47" t="s">
        <v>129</v>
      </c>
      <c r="C88" s="49">
        <v>5407</v>
      </c>
      <c r="D88" s="4"/>
    </row>
    <row r="89" spans="2:4" x14ac:dyDescent="0.3">
      <c r="B89" s="47" t="s">
        <v>130</v>
      </c>
      <c r="C89" s="49">
        <v>4786</v>
      </c>
      <c r="D89" s="4"/>
    </row>
    <row r="90" spans="2:4" x14ac:dyDescent="0.3">
      <c r="B90" s="47" t="s">
        <v>131</v>
      </c>
      <c r="C90" s="49">
        <v>4002</v>
      </c>
      <c r="D90" s="4"/>
    </row>
    <row r="91" spans="2:4" x14ac:dyDescent="0.3">
      <c r="B91" s="47" t="s">
        <v>132</v>
      </c>
      <c r="C91" s="49">
        <v>89648</v>
      </c>
      <c r="D91" s="4"/>
    </row>
    <row r="92" spans="2:4" x14ac:dyDescent="0.3">
      <c r="B92" s="57" t="s">
        <v>34</v>
      </c>
      <c r="C92" s="78"/>
      <c r="D92" s="4"/>
    </row>
    <row r="93" spans="2:4" x14ac:dyDescent="0.3">
      <c r="B93" s="47" t="s">
        <v>138</v>
      </c>
      <c r="C93" s="49">
        <v>76649</v>
      </c>
      <c r="D93" s="4"/>
    </row>
    <row r="94" spans="2:4" x14ac:dyDescent="0.3">
      <c r="B94" s="47" t="s">
        <v>139</v>
      </c>
      <c r="C94" s="49">
        <v>74651</v>
      </c>
      <c r="D94" s="4"/>
    </row>
    <row r="95" spans="2:4" x14ac:dyDescent="0.3">
      <c r="B95" s="57" t="s">
        <v>35</v>
      </c>
      <c r="C95" s="78"/>
      <c r="D95" s="4"/>
    </row>
    <row r="96" spans="2:4" x14ac:dyDescent="0.3">
      <c r="B96" s="47" t="s">
        <v>158</v>
      </c>
      <c r="C96" s="49">
        <v>92364</v>
      </c>
      <c r="D96" s="4"/>
    </row>
    <row r="97" spans="2:4" x14ac:dyDescent="0.3">
      <c r="B97" s="47" t="s">
        <v>159</v>
      </c>
      <c r="C97" s="49">
        <v>90381</v>
      </c>
      <c r="D97" s="4"/>
    </row>
    <row r="98" spans="2:4" x14ac:dyDescent="0.3">
      <c r="B98" s="57" t="s">
        <v>4</v>
      </c>
      <c r="C98" s="49"/>
      <c r="D98" s="4"/>
    </row>
    <row r="99" spans="2:4" x14ac:dyDescent="0.3">
      <c r="B99" s="47" t="s">
        <v>151</v>
      </c>
      <c r="C99" s="49">
        <v>20476</v>
      </c>
      <c r="D99" s="4"/>
    </row>
    <row r="100" spans="2:4" x14ac:dyDescent="0.3">
      <c r="B100" s="57" t="s">
        <v>36</v>
      </c>
      <c r="C100" s="49"/>
      <c r="D100" s="4"/>
    </row>
    <row r="101" spans="2:4" x14ac:dyDescent="0.3">
      <c r="B101" s="47" t="s">
        <v>152</v>
      </c>
      <c r="C101" s="49">
        <v>38274</v>
      </c>
      <c r="D101" s="4"/>
    </row>
    <row r="102" spans="2:4" x14ac:dyDescent="0.3">
      <c r="B102" s="57" t="s">
        <v>37</v>
      </c>
      <c r="C102" s="78"/>
      <c r="D102" s="4"/>
    </row>
    <row r="103" spans="2:4" x14ac:dyDescent="0.3">
      <c r="B103" s="47" t="s">
        <v>153</v>
      </c>
      <c r="C103" s="49">
        <v>16793</v>
      </c>
      <c r="D103" s="4"/>
    </row>
    <row r="104" spans="2:4" x14ac:dyDescent="0.3">
      <c r="B104" s="57" t="s">
        <v>38</v>
      </c>
      <c r="C104" s="78"/>
      <c r="D104" s="4"/>
    </row>
    <row r="105" spans="2:4" x14ac:dyDescent="0.3">
      <c r="B105" s="47" t="s">
        <v>140</v>
      </c>
      <c r="C105" s="49">
        <v>4237</v>
      </c>
      <c r="D105" s="4"/>
    </row>
    <row r="106" spans="2:4" x14ac:dyDescent="0.3">
      <c r="B106" s="47" t="s">
        <v>141</v>
      </c>
      <c r="C106" s="49">
        <v>4452</v>
      </c>
      <c r="D106" s="4"/>
    </row>
    <row r="107" spans="2:4" x14ac:dyDescent="0.3">
      <c r="B107" s="57" t="s">
        <v>39</v>
      </c>
      <c r="C107" s="78"/>
      <c r="D107" s="4"/>
    </row>
    <row r="108" spans="2:4" x14ac:dyDescent="0.3">
      <c r="B108" s="47" t="s">
        <v>154</v>
      </c>
      <c r="C108" s="49">
        <v>17275</v>
      </c>
      <c r="D108" s="4"/>
    </row>
    <row r="109" spans="2:4" x14ac:dyDescent="0.3">
      <c r="B109" s="57" t="s">
        <v>5</v>
      </c>
      <c r="C109" s="78"/>
      <c r="D109" s="4"/>
    </row>
    <row r="110" spans="2:4" x14ac:dyDescent="0.3">
      <c r="B110" s="47" t="s">
        <v>155</v>
      </c>
      <c r="C110" s="49">
        <v>3406</v>
      </c>
      <c r="D110" s="4"/>
    </row>
    <row r="111" spans="2:4" x14ac:dyDescent="0.3">
      <c r="B111" s="57" t="s">
        <v>40</v>
      </c>
      <c r="C111" s="78"/>
      <c r="D111" s="4"/>
    </row>
    <row r="112" spans="2:4" x14ac:dyDescent="0.3">
      <c r="B112" s="47" t="s">
        <v>135</v>
      </c>
      <c r="C112" s="49">
        <v>65573</v>
      </c>
      <c r="D112" s="4"/>
    </row>
    <row r="113" spans="2:4" x14ac:dyDescent="0.3">
      <c r="B113" s="57" t="s">
        <v>2</v>
      </c>
      <c r="C113" s="78"/>
      <c r="D113" s="4"/>
    </row>
    <row r="114" spans="2:4" x14ac:dyDescent="0.3">
      <c r="B114" s="47" t="s">
        <v>122</v>
      </c>
      <c r="C114" s="49">
        <v>515827</v>
      </c>
      <c r="D114" s="4"/>
    </row>
    <row r="115" spans="2:4" x14ac:dyDescent="0.3">
      <c r="B115" s="57" t="s">
        <v>42</v>
      </c>
      <c r="C115" s="78"/>
      <c r="D115" s="4"/>
    </row>
    <row r="116" spans="2:4" x14ac:dyDescent="0.3">
      <c r="B116" s="47" t="s">
        <v>133</v>
      </c>
      <c r="C116" s="49">
        <v>33075</v>
      </c>
      <c r="D116" s="4"/>
    </row>
    <row r="117" spans="2:4" x14ac:dyDescent="0.3">
      <c r="B117" s="47" t="s">
        <v>134</v>
      </c>
      <c r="C117" s="49">
        <v>32948</v>
      </c>
      <c r="D117" s="4"/>
    </row>
    <row r="118" spans="2:4" x14ac:dyDescent="0.3">
      <c r="B118" s="57" t="s">
        <v>43</v>
      </c>
      <c r="C118" s="78"/>
      <c r="D118" s="4"/>
    </row>
    <row r="119" spans="2:4" x14ac:dyDescent="0.3">
      <c r="B119" s="47" t="s">
        <v>124</v>
      </c>
      <c r="C119" s="49">
        <v>11831</v>
      </c>
      <c r="D119" s="4"/>
    </row>
    <row r="120" spans="2:4" x14ac:dyDescent="0.3">
      <c r="B120" s="57" t="s">
        <v>46</v>
      </c>
      <c r="C120" s="78"/>
      <c r="D120" s="4"/>
    </row>
    <row r="121" spans="2:4" x14ac:dyDescent="0.3">
      <c r="B121" s="47" t="s">
        <v>150</v>
      </c>
      <c r="C121" s="49">
        <v>197562</v>
      </c>
      <c r="D121" s="4"/>
    </row>
    <row r="122" spans="2:4" x14ac:dyDescent="0.3">
      <c r="B122" s="57" t="s">
        <v>1</v>
      </c>
      <c r="C122" s="78"/>
      <c r="D122" s="4"/>
    </row>
    <row r="123" spans="2:4" x14ac:dyDescent="0.3">
      <c r="B123" s="47" t="s">
        <v>123</v>
      </c>
      <c r="C123" s="49">
        <v>10131</v>
      </c>
      <c r="D123" s="52"/>
    </row>
    <row r="124" spans="2:4" x14ac:dyDescent="0.3">
      <c r="D124" s="9"/>
    </row>
    <row r="125" spans="2:4" ht="28.8" x14ac:dyDescent="0.3">
      <c r="B125" s="84" t="s">
        <v>164</v>
      </c>
      <c r="C125" s="79" t="s">
        <v>197</v>
      </c>
      <c r="D125" s="4"/>
    </row>
    <row r="126" spans="2:4" x14ac:dyDescent="0.3">
      <c r="B126" s="7" t="s">
        <v>12</v>
      </c>
      <c r="C126" s="85">
        <f>+SUM(C127:C128)</f>
        <v>39318.21</v>
      </c>
      <c r="D126" s="14"/>
    </row>
    <row r="127" spans="2:4" x14ac:dyDescent="0.3">
      <c r="B127" s="57" t="s">
        <v>13</v>
      </c>
      <c r="C127" s="78"/>
      <c r="D127" s="4"/>
    </row>
    <row r="128" spans="2:4" x14ac:dyDescent="0.3">
      <c r="B128" s="47" t="s">
        <v>191</v>
      </c>
      <c r="C128" s="49">
        <v>39318.21</v>
      </c>
    </row>
  </sheetData>
  <pageMargins left="0.7" right="0.7" top="0.75" bottom="0.75" header="0.3" footer="0.3"/>
  <pageSetup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B3:M158"/>
  <sheetViews>
    <sheetView topLeftCell="A25" zoomScale="70" zoomScaleNormal="70" workbookViewId="0">
      <selection activeCell="I13" sqref="I13"/>
    </sheetView>
  </sheetViews>
  <sheetFormatPr baseColWidth="10" defaultColWidth="9.109375" defaultRowHeight="14.4" x14ac:dyDescent="0.3"/>
  <cols>
    <col min="1" max="5" width="9.109375" style="1"/>
    <col min="6" max="6" width="6.6640625" style="1" customWidth="1"/>
    <col min="7" max="7" width="15.6640625" style="1" customWidth="1"/>
    <col min="8" max="8" width="23.109375" style="1" customWidth="1"/>
    <col min="9" max="9" width="14" style="1" bestFit="1" customWidth="1"/>
    <col min="10" max="10" width="16.33203125" style="1" customWidth="1"/>
    <col min="11" max="11" width="14.44140625" style="1" customWidth="1"/>
    <col min="12" max="12" width="15.5546875" style="1" customWidth="1"/>
    <col min="13" max="13" width="11.109375" style="1" bestFit="1" customWidth="1"/>
    <col min="14" max="16384" width="9.109375" style="1"/>
  </cols>
  <sheetData>
    <row r="3" spans="2:13" ht="23.4" x14ac:dyDescent="0.45">
      <c r="B3" s="309" t="s">
        <v>359</v>
      </c>
      <c r="C3" s="308"/>
      <c r="D3" s="308"/>
      <c r="E3" s="308"/>
      <c r="F3" s="308"/>
      <c r="G3" s="310">
        <v>2017</v>
      </c>
    </row>
    <row r="5" spans="2:13" s="9" customFormat="1" ht="15" thickBot="1" x14ac:dyDescent="0.35"/>
    <row r="6" spans="2:13" x14ac:dyDescent="0.3">
      <c r="G6" s="585" t="s">
        <v>196</v>
      </c>
      <c r="H6" s="586"/>
      <c r="I6" s="586"/>
      <c r="J6" s="586"/>
      <c r="K6" s="283">
        <f>+OM_EF_2017!C6</f>
        <v>8891442.873232197</v>
      </c>
      <c r="L6" s="136"/>
    </row>
    <row r="7" spans="2:13" ht="15.6" x14ac:dyDescent="0.3">
      <c r="G7" s="587" t="s">
        <v>199</v>
      </c>
      <c r="H7" s="588"/>
      <c r="I7" s="588"/>
      <c r="J7" s="588"/>
      <c r="K7" s="137">
        <f>+K6-I65-I73-I74</f>
        <v>8017716.2952321973</v>
      </c>
      <c r="L7" s="138" t="s">
        <v>200</v>
      </c>
    </row>
    <row r="8" spans="2:13" x14ac:dyDescent="0.3">
      <c r="G8" s="589" t="s">
        <v>204</v>
      </c>
      <c r="H8" s="590"/>
      <c r="I8" s="590"/>
      <c r="J8" s="590"/>
      <c r="K8" s="140">
        <f>+K7*0.2</f>
        <v>1603543.2590464395</v>
      </c>
      <c r="L8" s="141"/>
    </row>
    <row r="9" spans="2:13" ht="15.6" x14ac:dyDescent="0.35">
      <c r="G9" s="589" t="s">
        <v>202</v>
      </c>
      <c r="H9" s="590"/>
      <c r="I9" s="590"/>
      <c r="J9" s="590"/>
      <c r="K9" s="142">
        <f>+SUM(K16:K20)</f>
        <v>40220.633249999999</v>
      </c>
      <c r="L9" s="141" t="s">
        <v>201</v>
      </c>
    </row>
    <row r="10" spans="2:13" ht="15.6" x14ac:dyDescent="0.3">
      <c r="G10" s="591" t="s">
        <v>206</v>
      </c>
      <c r="H10" s="592"/>
      <c r="I10" s="592"/>
      <c r="J10" s="592"/>
      <c r="K10" s="145">
        <f>+K28</f>
        <v>1928759.701483625</v>
      </c>
      <c r="L10" s="146" t="s">
        <v>203</v>
      </c>
    </row>
    <row r="11" spans="2:13" ht="15" thickBot="1" x14ac:dyDescent="0.35">
      <c r="G11" s="593" t="s">
        <v>207</v>
      </c>
      <c r="H11" s="594"/>
      <c r="I11" s="594"/>
      <c r="J11" s="594"/>
      <c r="K11" s="143">
        <f>+SUM(M16:M28)</f>
        <v>1024685.7357641342</v>
      </c>
      <c r="L11" s="144"/>
    </row>
    <row r="12" spans="2:13" ht="15" thickBot="1" x14ac:dyDescent="0.35"/>
    <row r="13" spans="2:13" ht="16.2" thickBot="1" x14ac:dyDescent="0.4">
      <c r="H13" s="96" t="s">
        <v>205</v>
      </c>
      <c r="I13" s="97">
        <f>+K11/K10</f>
        <v>0.53126666581427107</v>
      </c>
    </row>
    <row r="15" spans="2:13" ht="45" thickBot="1" x14ac:dyDescent="0.35">
      <c r="F15" s="311" t="s">
        <v>192</v>
      </c>
      <c r="G15" s="311" t="s">
        <v>193</v>
      </c>
      <c r="H15" s="311" t="s">
        <v>172</v>
      </c>
      <c r="I15" s="311" t="s">
        <v>197</v>
      </c>
      <c r="J15" s="311" t="s">
        <v>194</v>
      </c>
      <c r="K15" s="311" t="s">
        <v>198</v>
      </c>
      <c r="L15" s="312" t="s">
        <v>209</v>
      </c>
      <c r="M15" s="311" t="s">
        <v>208</v>
      </c>
    </row>
    <row r="16" spans="2:13" x14ac:dyDescent="0.3">
      <c r="F16" s="117">
        <v>1</v>
      </c>
      <c r="G16" s="118" t="s">
        <v>345</v>
      </c>
      <c r="H16" s="119">
        <v>2017</v>
      </c>
      <c r="I16" s="120">
        <v>1065.63625</v>
      </c>
      <c r="J16" s="121" t="s">
        <v>277</v>
      </c>
      <c r="K16" s="291">
        <f>+I16</f>
        <v>1065.63625</v>
      </c>
      <c r="L16" s="291">
        <v>0</v>
      </c>
      <c r="M16" s="292">
        <f>+L16*I16</f>
        <v>0</v>
      </c>
    </row>
    <row r="17" spans="6:13" x14ac:dyDescent="0.3">
      <c r="F17" s="122">
        <v>2</v>
      </c>
      <c r="G17" s="47" t="s">
        <v>347</v>
      </c>
      <c r="H17" s="110">
        <v>2017</v>
      </c>
      <c r="I17" s="49">
        <v>3137</v>
      </c>
      <c r="J17" s="110" t="s">
        <v>277</v>
      </c>
      <c r="K17" s="279">
        <f>+I17+K16</f>
        <v>4202.6362499999996</v>
      </c>
      <c r="L17" s="281">
        <v>0</v>
      </c>
      <c r="M17" s="293">
        <f t="shared" ref="M17:M28" si="0">+L17*I17</f>
        <v>0</v>
      </c>
    </row>
    <row r="18" spans="6:13" x14ac:dyDescent="0.3">
      <c r="F18" s="122">
        <v>3</v>
      </c>
      <c r="G18" s="47" t="s">
        <v>348</v>
      </c>
      <c r="H18" s="110">
        <v>2017</v>
      </c>
      <c r="I18" s="111"/>
      <c r="J18" s="110" t="s">
        <v>277</v>
      </c>
      <c r="K18" s="279">
        <f t="shared" ref="K18:K27" si="1">+I18+K17</f>
        <v>4202.6362499999996</v>
      </c>
      <c r="L18" s="281">
        <v>0</v>
      </c>
      <c r="M18" s="293">
        <f t="shared" si="0"/>
        <v>0</v>
      </c>
    </row>
    <row r="19" spans="6:13" x14ac:dyDescent="0.3">
      <c r="F19" s="122">
        <v>4</v>
      </c>
      <c r="G19" s="47" t="s">
        <v>349</v>
      </c>
      <c r="H19" s="110">
        <v>2017</v>
      </c>
      <c r="I19" s="269">
        <v>11172.225999999999</v>
      </c>
      <c r="J19" s="110" t="s">
        <v>277</v>
      </c>
      <c r="K19" s="279">
        <f t="shared" si="1"/>
        <v>15374.862249999998</v>
      </c>
      <c r="L19" s="281">
        <v>0</v>
      </c>
      <c r="M19" s="293">
        <f t="shared" si="0"/>
        <v>0</v>
      </c>
    </row>
    <row r="20" spans="6:13" ht="15" thickBot="1" x14ac:dyDescent="0.35">
      <c r="F20" s="123">
        <v>5</v>
      </c>
      <c r="G20" s="294" t="s">
        <v>350</v>
      </c>
      <c r="H20" s="127">
        <v>2017</v>
      </c>
      <c r="I20" s="295"/>
      <c r="J20" s="127" t="s">
        <v>277</v>
      </c>
      <c r="K20" s="296">
        <f>+I20+K19</f>
        <v>15374.862249999998</v>
      </c>
      <c r="L20" s="297">
        <v>0</v>
      </c>
      <c r="M20" s="298">
        <f t="shared" si="0"/>
        <v>0</v>
      </c>
    </row>
    <row r="21" spans="6:13" x14ac:dyDescent="0.3">
      <c r="F21" s="128">
        <v>6</v>
      </c>
      <c r="G21" s="299" t="s">
        <v>333</v>
      </c>
      <c r="H21" s="121">
        <v>2015</v>
      </c>
      <c r="I21" s="120">
        <v>341340.33600000001</v>
      </c>
      <c r="J21" s="121" t="s">
        <v>277</v>
      </c>
      <c r="K21" s="300">
        <f t="shared" si="1"/>
        <v>356715.19825000002</v>
      </c>
      <c r="L21" s="301">
        <f>+OM_EF_2017!G83</f>
        <v>0.53500631275387289</v>
      </c>
      <c r="M21" s="302">
        <f t="shared" si="0"/>
        <v>182619.23455752808</v>
      </c>
    </row>
    <row r="22" spans="6:13" x14ac:dyDescent="0.3">
      <c r="F22" s="129">
        <v>7</v>
      </c>
      <c r="G22" s="47" t="s">
        <v>334</v>
      </c>
      <c r="H22" s="110">
        <v>2015</v>
      </c>
      <c r="I22" s="49">
        <v>232234.96000000008</v>
      </c>
      <c r="J22" s="110" t="s">
        <v>277</v>
      </c>
      <c r="K22" s="279">
        <f t="shared" si="1"/>
        <v>588950.15825000009</v>
      </c>
      <c r="L22" s="282">
        <f>+OM_EF_2017!G84</f>
        <v>0.54003734899505884</v>
      </c>
      <c r="M22" s="303">
        <f t="shared" si="0"/>
        <v>125415.55214237358</v>
      </c>
    </row>
    <row r="23" spans="6:13" x14ac:dyDescent="0.3">
      <c r="F23" s="129">
        <v>8</v>
      </c>
      <c r="G23" s="47" t="s">
        <v>335</v>
      </c>
      <c r="H23" s="110">
        <v>2015</v>
      </c>
      <c r="I23" s="49">
        <v>332215.63199999998</v>
      </c>
      <c r="J23" s="110" t="s">
        <v>277</v>
      </c>
      <c r="K23" s="279">
        <f t="shared" si="1"/>
        <v>921165.79025000008</v>
      </c>
      <c r="L23" s="282">
        <f>+OM_EF_2017!G85</f>
        <v>0.53991897167173675</v>
      </c>
      <c r="M23" s="303">
        <f t="shared" si="0"/>
        <v>179369.5224027161</v>
      </c>
    </row>
    <row r="24" spans="6:13" x14ac:dyDescent="0.3">
      <c r="F24" s="129">
        <v>9</v>
      </c>
      <c r="G24" s="47" t="s">
        <v>336</v>
      </c>
      <c r="H24" s="110">
        <v>2015</v>
      </c>
      <c r="I24" s="49">
        <v>319457.85599999991</v>
      </c>
      <c r="J24" s="110" t="s">
        <v>277</v>
      </c>
      <c r="K24" s="279">
        <f t="shared" si="1"/>
        <v>1240623.64625</v>
      </c>
      <c r="L24" s="282">
        <f>+OM_EF_2017!G86</f>
        <v>0.54062923561166887</v>
      </c>
      <c r="M24" s="303">
        <f t="shared" si="0"/>
        <v>172708.25649942254</v>
      </c>
    </row>
    <row r="25" spans="6:13" x14ac:dyDescent="0.3">
      <c r="F25" s="129">
        <v>10</v>
      </c>
      <c r="G25" s="47" t="s">
        <v>337</v>
      </c>
      <c r="H25" s="110">
        <v>2015</v>
      </c>
      <c r="I25" s="49">
        <v>332882.23199999996</v>
      </c>
      <c r="J25" s="110" t="s">
        <v>277</v>
      </c>
      <c r="K25" s="279">
        <f t="shared" si="1"/>
        <v>1573505.8782500001</v>
      </c>
      <c r="L25" s="282">
        <f>+OM_EF_2017!G87</f>
        <v>0.54128031088994011</v>
      </c>
      <c r="M25" s="303">
        <f t="shared" si="0"/>
        <v>180182.59802669715</v>
      </c>
    </row>
    <row r="26" spans="6:13" x14ac:dyDescent="0.3">
      <c r="F26" s="129">
        <v>11</v>
      </c>
      <c r="G26" s="47" t="s">
        <v>331</v>
      </c>
      <c r="H26" s="110">
        <v>2015</v>
      </c>
      <c r="I26" s="49">
        <v>9940.8974000000035</v>
      </c>
      <c r="J26" s="110" t="s">
        <v>277</v>
      </c>
      <c r="K26" s="279">
        <f t="shared" si="1"/>
        <v>1583446.77565</v>
      </c>
      <c r="L26" s="281">
        <v>0</v>
      </c>
      <c r="M26" s="303">
        <f t="shared" si="0"/>
        <v>0</v>
      </c>
    </row>
    <row r="27" spans="6:13" x14ac:dyDescent="0.3">
      <c r="F27" s="129">
        <v>12</v>
      </c>
      <c r="G27" s="47" t="s">
        <v>332</v>
      </c>
      <c r="H27" s="110">
        <v>2015</v>
      </c>
      <c r="I27" s="49">
        <v>10262.133000000002</v>
      </c>
      <c r="J27" s="110" t="s">
        <v>277</v>
      </c>
      <c r="K27" s="279">
        <f t="shared" si="1"/>
        <v>1593708.9086499999</v>
      </c>
      <c r="L27" s="281">
        <v>0</v>
      </c>
      <c r="M27" s="303">
        <f t="shared" si="0"/>
        <v>0</v>
      </c>
    </row>
    <row r="28" spans="6:13" ht="15" thickBot="1" x14ac:dyDescent="0.35">
      <c r="F28" s="130">
        <v>13</v>
      </c>
      <c r="G28" s="131" t="s">
        <v>330</v>
      </c>
      <c r="H28" s="304" t="s">
        <v>351</v>
      </c>
      <c r="I28" s="133">
        <v>335050.79283362499</v>
      </c>
      <c r="J28" s="132" t="s">
        <v>277</v>
      </c>
      <c r="K28" s="305">
        <f>+I28+K27</f>
        <v>1928759.701483625</v>
      </c>
      <c r="L28" s="306">
        <f>+OM_EF_2017!G72</f>
        <v>0.55033617612407471</v>
      </c>
      <c r="M28" s="307">
        <f t="shared" si="0"/>
        <v>184390.57213539671</v>
      </c>
    </row>
    <row r="29" spans="6:13" x14ac:dyDescent="0.3">
      <c r="F29" s="21">
        <v>14</v>
      </c>
      <c r="G29" s="278" t="s">
        <v>325</v>
      </c>
      <c r="H29" s="20" t="s">
        <v>352</v>
      </c>
      <c r="I29" s="53"/>
      <c r="J29" s="20" t="s">
        <v>277</v>
      </c>
      <c r="K29" s="315"/>
      <c r="L29" s="316"/>
      <c r="M29" s="317"/>
    </row>
    <row r="30" spans="6:13" x14ac:dyDescent="0.3">
      <c r="F30" s="112">
        <v>15</v>
      </c>
      <c r="G30" s="47" t="s">
        <v>329</v>
      </c>
      <c r="H30" s="280">
        <v>41768</v>
      </c>
      <c r="I30" s="49"/>
      <c r="J30" s="108" t="s">
        <v>277</v>
      </c>
      <c r="K30" s="315"/>
      <c r="L30" s="35"/>
      <c r="M30" s="69"/>
    </row>
    <row r="31" spans="6:13" x14ac:dyDescent="0.3">
      <c r="F31" s="112">
        <v>16</v>
      </c>
      <c r="G31" s="47" t="s">
        <v>328</v>
      </c>
      <c r="H31" s="280">
        <v>41859</v>
      </c>
      <c r="I31" s="49"/>
      <c r="J31" s="108" t="s">
        <v>277</v>
      </c>
      <c r="K31" s="315"/>
      <c r="L31" s="35"/>
      <c r="M31" s="69"/>
    </row>
    <row r="32" spans="6:13" x14ac:dyDescent="0.3">
      <c r="F32" s="112">
        <v>17</v>
      </c>
      <c r="G32" s="47" t="s">
        <v>327</v>
      </c>
      <c r="H32" s="110" t="s">
        <v>353</v>
      </c>
      <c r="I32" s="49"/>
      <c r="J32" s="108" t="s">
        <v>277</v>
      </c>
      <c r="K32" s="315"/>
      <c r="L32" s="35"/>
      <c r="M32" s="69"/>
    </row>
    <row r="33" spans="6:13" x14ac:dyDescent="0.3">
      <c r="F33" s="112">
        <v>18</v>
      </c>
      <c r="G33" s="47" t="s">
        <v>308</v>
      </c>
      <c r="H33" s="110" t="s">
        <v>354</v>
      </c>
      <c r="I33" s="49"/>
      <c r="J33" s="108" t="s">
        <v>277</v>
      </c>
      <c r="K33" s="315"/>
      <c r="L33" s="35"/>
      <c r="M33" s="69"/>
    </row>
    <row r="34" spans="6:13" x14ac:dyDescent="0.3">
      <c r="F34" s="112">
        <v>19</v>
      </c>
      <c r="G34" s="47" t="s">
        <v>324</v>
      </c>
      <c r="H34" s="110">
        <v>2013</v>
      </c>
      <c r="I34" s="49"/>
      <c r="J34" s="108" t="s">
        <v>277</v>
      </c>
      <c r="K34" s="315"/>
      <c r="L34" s="35"/>
      <c r="M34" s="69"/>
    </row>
    <row r="35" spans="6:13" x14ac:dyDescent="0.3">
      <c r="F35" s="112">
        <v>20</v>
      </c>
      <c r="G35" s="47" t="s">
        <v>323</v>
      </c>
      <c r="H35" s="110">
        <v>2013</v>
      </c>
      <c r="I35" s="49"/>
      <c r="J35" s="108" t="s">
        <v>277</v>
      </c>
      <c r="K35" s="315"/>
      <c r="L35" s="35"/>
      <c r="M35" s="69"/>
    </row>
    <row r="36" spans="6:13" x14ac:dyDescent="0.3">
      <c r="F36" s="112">
        <v>21</v>
      </c>
      <c r="G36" s="47" t="s">
        <v>318</v>
      </c>
      <c r="H36" s="110">
        <v>2012</v>
      </c>
      <c r="I36" s="49"/>
      <c r="J36" s="108" t="s">
        <v>277</v>
      </c>
      <c r="K36" s="315"/>
      <c r="L36" s="35"/>
      <c r="M36" s="69"/>
    </row>
    <row r="37" spans="6:13" x14ac:dyDescent="0.3">
      <c r="F37" s="112">
        <v>22</v>
      </c>
      <c r="G37" s="47" t="s">
        <v>319</v>
      </c>
      <c r="H37" s="110">
        <v>2012</v>
      </c>
      <c r="I37" s="49"/>
      <c r="J37" s="108" t="s">
        <v>277</v>
      </c>
      <c r="K37" s="315"/>
      <c r="L37" s="35"/>
      <c r="M37" s="69"/>
    </row>
    <row r="38" spans="6:13" x14ac:dyDescent="0.3">
      <c r="F38" s="112">
        <v>23</v>
      </c>
      <c r="G38" s="47" t="s">
        <v>320</v>
      </c>
      <c r="H38" s="110">
        <v>2012</v>
      </c>
      <c r="I38" s="49"/>
      <c r="J38" s="108" t="s">
        <v>277</v>
      </c>
      <c r="K38" s="315"/>
      <c r="L38" s="35"/>
      <c r="M38" s="69"/>
    </row>
    <row r="39" spans="6:13" x14ac:dyDescent="0.3">
      <c r="F39" s="112">
        <v>24</v>
      </c>
      <c r="G39" s="47" t="s">
        <v>321</v>
      </c>
      <c r="H39" s="110">
        <v>2012</v>
      </c>
      <c r="I39" s="49"/>
      <c r="J39" s="108" t="s">
        <v>277</v>
      </c>
      <c r="K39" s="315"/>
      <c r="L39" s="35"/>
      <c r="M39" s="69"/>
    </row>
    <row r="40" spans="6:13" x14ac:dyDescent="0.3">
      <c r="F40" s="112">
        <v>25</v>
      </c>
      <c r="G40" s="47" t="s">
        <v>322</v>
      </c>
      <c r="H40" s="110">
        <v>2012</v>
      </c>
      <c r="I40" s="49"/>
      <c r="J40" s="108" t="s">
        <v>277</v>
      </c>
      <c r="K40" s="315"/>
      <c r="L40" s="35"/>
      <c r="M40" s="69"/>
    </row>
    <row r="41" spans="6:13" x14ac:dyDescent="0.3">
      <c r="F41" s="112">
        <v>26</v>
      </c>
      <c r="G41" s="47" t="s">
        <v>314</v>
      </c>
      <c r="H41" s="110">
        <v>2012</v>
      </c>
      <c r="I41" s="49"/>
      <c r="J41" s="108" t="s">
        <v>277</v>
      </c>
      <c r="K41" s="315"/>
      <c r="L41" s="35"/>
      <c r="M41" s="69"/>
    </row>
    <row r="42" spans="6:13" x14ac:dyDescent="0.3">
      <c r="F42" s="112">
        <v>27</v>
      </c>
      <c r="G42" s="47" t="s">
        <v>316</v>
      </c>
      <c r="H42" s="110">
        <v>2011</v>
      </c>
      <c r="I42" s="49"/>
      <c r="J42" s="108" t="s">
        <v>277</v>
      </c>
      <c r="K42" s="315"/>
      <c r="L42" s="35"/>
      <c r="M42" s="69"/>
    </row>
    <row r="43" spans="6:13" x14ac:dyDescent="0.3">
      <c r="F43" s="112">
        <v>28</v>
      </c>
      <c r="G43" s="47" t="s">
        <v>107</v>
      </c>
      <c r="H43" s="110">
        <v>2010</v>
      </c>
      <c r="I43" s="49"/>
      <c r="J43" s="108" t="s">
        <v>277</v>
      </c>
      <c r="K43" s="315"/>
      <c r="L43" s="35"/>
      <c r="M43" s="69"/>
    </row>
    <row r="44" spans="6:13" x14ac:dyDescent="0.3">
      <c r="F44" s="112">
        <v>29</v>
      </c>
      <c r="G44" s="47" t="s">
        <v>108</v>
      </c>
      <c r="H44" s="110">
        <v>2010</v>
      </c>
      <c r="I44" s="49"/>
      <c r="J44" s="108" t="s">
        <v>277</v>
      </c>
      <c r="K44" s="315"/>
      <c r="L44" s="35"/>
      <c r="M44" s="69"/>
    </row>
    <row r="45" spans="6:13" x14ac:dyDescent="0.3">
      <c r="F45" s="112">
        <v>30</v>
      </c>
      <c r="G45" s="47" t="s">
        <v>109</v>
      </c>
      <c r="H45" s="110">
        <v>2010</v>
      </c>
      <c r="I45" s="49"/>
      <c r="J45" s="108" t="s">
        <v>277</v>
      </c>
      <c r="K45" s="315"/>
      <c r="L45" s="35"/>
      <c r="M45" s="69"/>
    </row>
    <row r="46" spans="6:13" x14ac:dyDescent="0.3">
      <c r="F46" s="112">
        <v>31</v>
      </c>
      <c r="G46" s="47" t="s">
        <v>110</v>
      </c>
      <c r="H46" s="110">
        <v>2010</v>
      </c>
      <c r="I46" s="49"/>
      <c r="J46" s="108" t="s">
        <v>277</v>
      </c>
      <c r="K46" s="315"/>
      <c r="L46" s="35"/>
      <c r="M46" s="69"/>
    </row>
    <row r="47" spans="6:13" x14ac:dyDescent="0.3">
      <c r="F47" s="112">
        <v>32</v>
      </c>
      <c r="G47" s="47" t="s">
        <v>85</v>
      </c>
      <c r="H47" s="110">
        <v>2009</v>
      </c>
      <c r="I47" s="49"/>
      <c r="J47" s="108" t="s">
        <v>277</v>
      </c>
      <c r="K47" s="315"/>
      <c r="L47" s="35"/>
      <c r="M47" s="69"/>
    </row>
    <row r="48" spans="6:13" x14ac:dyDescent="0.3">
      <c r="F48" s="112">
        <v>33</v>
      </c>
      <c r="G48" s="47" t="s">
        <v>86</v>
      </c>
      <c r="H48" s="110">
        <v>2009</v>
      </c>
      <c r="I48" s="49"/>
      <c r="J48" s="108" t="s">
        <v>277</v>
      </c>
      <c r="K48" s="315"/>
      <c r="L48" s="35"/>
      <c r="M48" s="69"/>
    </row>
    <row r="49" spans="6:13" x14ac:dyDescent="0.3">
      <c r="F49" s="112">
        <v>34</v>
      </c>
      <c r="G49" s="47" t="s">
        <v>97</v>
      </c>
      <c r="H49" s="110">
        <v>2008</v>
      </c>
      <c r="I49" s="49"/>
      <c r="J49" s="108" t="s">
        <v>277</v>
      </c>
      <c r="K49" s="315"/>
      <c r="L49" s="35"/>
      <c r="M49" s="69"/>
    </row>
    <row r="50" spans="6:13" x14ac:dyDescent="0.3">
      <c r="F50" s="112">
        <v>35</v>
      </c>
      <c r="G50" s="47" t="s">
        <v>98</v>
      </c>
      <c r="H50" s="110">
        <v>2008</v>
      </c>
      <c r="I50" s="49"/>
      <c r="J50" s="108" t="s">
        <v>277</v>
      </c>
      <c r="K50" s="315"/>
      <c r="L50" s="35"/>
      <c r="M50" s="69"/>
    </row>
    <row r="51" spans="6:13" x14ac:dyDescent="0.3">
      <c r="F51" s="112">
        <v>36</v>
      </c>
      <c r="G51" s="47" t="s">
        <v>99</v>
      </c>
      <c r="H51" s="110">
        <v>2008</v>
      </c>
      <c r="I51" s="49"/>
      <c r="J51" s="108" t="s">
        <v>277</v>
      </c>
      <c r="K51" s="315"/>
      <c r="L51" s="35"/>
      <c r="M51" s="69"/>
    </row>
    <row r="52" spans="6:13" x14ac:dyDescent="0.3">
      <c r="F52" s="112">
        <v>37</v>
      </c>
      <c r="G52" s="47" t="s">
        <v>144</v>
      </c>
      <c r="H52" s="110">
        <v>2008</v>
      </c>
      <c r="I52" s="49"/>
      <c r="J52" s="108" t="s">
        <v>277</v>
      </c>
      <c r="K52" s="315"/>
      <c r="L52" s="9"/>
      <c r="M52" s="69"/>
    </row>
    <row r="53" spans="6:13" x14ac:dyDescent="0.3">
      <c r="F53" s="112">
        <v>38</v>
      </c>
      <c r="G53" s="47" t="s">
        <v>93</v>
      </c>
      <c r="H53" s="110">
        <v>2007</v>
      </c>
      <c r="I53" s="49"/>
      <c r="J53" s="108" t="s">
        <v>277</v>
      </c>
      <c r="K53" s="315"/>
      <c r="L53" s="35"/>
      <c r="M53" s="69"/>
    </row>
    <row r="54" spans="6:13" x14ac:dyDescent="0.3">
      <c r="F54" s="112">
        <v>39</v>
      </c>
      <c r="G54" s="47" t="s">
        <v>94</v>
      </c>
      <c r="H54" s="110">
        <v>2007</v>
      </c>
      <c r="I54" s="49"/>
      <c r="J54" s="108" t="s">
        <v>277</v>
      </c>
      <c r="K54" s="315"/>
      <c r="L54" s="35"/>
      <c r="M54" s="69"/>
    </row>
    <row r="55" spans="6:13" x14ac:dyDescent="0.3">
      <c r="F55" s="112">
        <v>40</v>
      </c>
      <c r="G55" s="47" t="s">
        <v>95</v>
      </c>
      <c r="H55" s="110">
        <v>2007</v>
      </c>
      <c r="I55" s="49"/>
      <c r="J55" s="108" t="s">
        <v>277</v>
      </c>
      <c r="K55" s="315"/>
      <c r="L55" s="35"/>
      <c r="M55" s="69"/>
    </row>
    <row r="56" spans="6:13" x14ac:dyDescent="0.3">
      <c r="F56" s="112">
        <v>41</v>
      </c>
      <c r="G56" s="47" t="s">
        <v>96</v>
      </c>
      <c r="H56" s="110">
        <v>2007</v>
      </c>
      <c r="I56" s="49"/>
      <c r="J56" s="108" t="s">
        <v>277</v>
      </c>
      <c r="K56" s="315"/>
      <c r="L56" s="35"/>
      <c r="M56" s="69"/>
    </row>
    <row r="57" spans="6:13" x14ac:dyDescent="0.3">
      <c r="F57" s="112">
        <v>42</v>
      </c>
      <c r="G57" s="47" t="s">
        <v>189</v>
      </c>
      <c r="H57" s="110">
        <v>2007</v>
      </c>
      <c r="I57" s="582"/>
      <c r="J57" s="108" t="s">
        <v>277</v>
      </c>
      <c r="K57" s="315"/>
      <c r="L57" s="9"/>
      <c r="M57" s="69"/>
    </row>
    <row r="58" spans="6:13" x14ac:dyDescent="0.3">
      <c r="F58" s="112">
        <v>43</v>
      </c>
      <c r="G58" s="47" t="s">
        <v>190</v>
      </c>
      <c r="H58" s="110">
        <v>2007</v>
      </c>
      <c r="I58" s="582"/>
      <c r="J58" s="108" t="s">
        <v>277</v>
      </c>
      <c r="K58" s="315"/>
      <c r="L58" s="9"/>
      <c r="M58" s="69"/>
    </row>
    <row r="59" spans="6:13" x14ac:dyDescent="0.3">
      <c r="F59" s="112">
        <v>44</v>
      </c>
      <c r="G59" s="47" t="s">
        <v>191</v>
      </c>
      <c r="H59" s="110">
        <v>2007</v>
      </c>
      <c r="I59" s="49"/>
      <c r="J59" s="108" t="s">
        <v>277</v>
      </c>
      <c r="K59" s="315"/>
      <c r="L59" s="9"/>
      <c r="M59" s="69"/>
    </row>
    <row r="60" spans="6:13" x14ac:dyDescent="0.3">
      <c r="F60" s="112">
        <v>45</v>
      </c>
      <c r="G60" s="47" t="s">
        <v>84</v>
      </c>
      <c r="H60" s="110">
        <v>2007</v>
      </c>
      <c r="I60" s="49"/>
      <c r="J60" s="108" t="s">
        <v>277</v>
      </c>
      <c r="K60" s="315"/>
      <c r="L60" s="35"/>
      <c r="M60" s="69"/>
    </row>
    <row r="61" spans="6:13" x14ac:dyDescent="0.3">
      <c r="F61" s="112">
        <v>46</v>
      </c>
      <c r="G61" s="47" t="s">
        <v>133</v>
      </c>
      <c r="H61" s="110">
        <v>2006</v>
      </c>
      <c r="I61" s="49"/>
      <c r="J61" s="108" t="s">
        <v>277</v>
      </c>
      <c r="K61" s="315"/>
      <c r="L61" s="9"/>
      <c r="M61" s="69"/>
    </row>
    <row r="62" spans="6:13" x14ac:dyDescent="0.3">
      <c r="F62" s="112">
        <v>47</v>
      </c>
      <c r="G62" s="278" t="s">
        <v>134</v>
      </c>
      <c r="H62" s="20">
        <v>2006</v>
      </c>
      <c r="I62" s="53"/>
      <c r="J62" s="109" t="s">
        <v>277</v>
      </c>
      <c r="K62" s="135"/>
      <c r="L62" s="9"/>
      <c r="M62" s="24"/>
    </row>
    <row r="63" spans="6:13" x14ac:dyDescent="0.3">
      <c r="F63" s="112">
        <v>48</v>
      </c>
      <c r="G63" s="257" t="s">
        <v>188</v>
      </c>
      <c r="H63" s="110">
        <v>2004</v>
      </c>
      <c r="I63" s="258"/>
      <c r="J63" s="110" t="s">
        <v>277</v>
      </c>
      <c r="K63" s="135"/>
      <c r="L63" s="9"/>
      <c r="M63" s="24"/>
    </row>
    <row r="64" spans="6:13" x14ac:dyDescent="0.3">
      <c r="F64" s="112">
        <v>49</v>
      </c>
      <c r="G64" s="47" t="s">
        <v>150</v>
      </c>
      <c r="H64" s="110">
        <v>2002</v>
      </c>
      <c r="I64" s="49"/>
      <c r="J64" s="110" t="s">
        <v>277</v>
      </c>
      <c r="K64" s="135"/>
      <c r="L64" s="9"/>
      <c r="M64" s="24"/>
    </row>
    <row r="65" spans="6:13" x14ac:dyDescent="0.3">
      <c r="F65" s="112">
        <v>50</v>
      </c>
      <c r="G65" s="271" t="s">
        <v>173</v>
      </c>
      <c r="H65" s="272">
        <v>2002</v>
      </c>
      <c r="I65" s="273">
        <v>127227.77000000002</v>
      </c>
      <c r="J65" s="272" t="s">
        <v>195</v>
      </c>
      <c r="K65" s="135"/>
      <c r="L65" s="9"/>
      <c r="M65" s="24"/>
    </row>
    <row r="66" spans="6:13" x14ac:dyDescent="0.3">
      <c r="F66" s="112">
        <v>51</v>
      </c>
      <c r="G66" s="257" t="s">
        <v>176</v>
      </c>
      <c r="H66" s="110">
        <v>2001</v>
      </c>
      <c r="I66" s="258"/>
      <c r="J66" s="110" t="s">
        <v>277</v>
      </c>
      <c r="K66" s="135"/>
      <c r="L66" s="9"/>
      <c r="M66" s="24"/>
    </row>
    <row r="67" spans="6:13" x14ac:dyDescent="0.3">
      <c r="F67" s="112">
        <v>52</v>
      </c>
      <c r="G67" s="257" t="s">
        <v>179</v>
      </c>
      <c r="H67" s="110">
        <v>2001</v>
      </c>
      <c r="I67" s="258"/>
      <c r="J67" s="110" t="s">
        <v>277</v>
      </c>
      <c r="K67" s="135"/>
      <c r="L67" s="9"/>
      <c r="M67" s="24"/>
    </row>
    <row r="68" spans="6:13" x14ac:dyDescent="0.3">
      <c r="F68" s="112">
        <v>53</v>
      </c>
      <c r="G68" s="76" t="s">
        <v>113</v>
      </c>
      <c r="H68" s="108">
        <v>2000</v>
      </c>
      <c r="I68" s="49"/>
      <c r="J68" s="110" t="s">
        <v>277</v>
      </c>
      <c r="K68" s="135"/>
      <c r="L68" s="9"/>
      <c r="M68" s="24"/>
    </row>
    <row r="69" spans="6:13" x14ac:dyDescent="0.3">
      <c r="F69" s="112">
        <v>54</v>
      </c>
      <c r="G69" s="76" t="s">
        <v>114</v>
      </c>
      <c r="H69" s="108">
        <v>2000</v>
      </c>
      <c r="I69" s="49"/>
      <c r="J69" s="110" t="s">
        <v>277</v>
      </c>
      <c r="K69" s="135"/>
      <c r="L69" s="9"/>
      <c r="M69" s="24"/>
    </row>
    <row r="70" spans="6:13" x14ac:dyDescent="0.3">
      <c r="F70" s="112">
        <v>55</v>
      </c>
      <c r="G70" s="47" t="s">
        <v>158</v>
      </c>
      <c r="H70" s="110">
        <v>1999</v>
      </c>
      <c r="I70" s="49"/>
      <c r="J70" s="110" t="s">
        <v>277</v>
      </c>
      <c r="K70" s="135"/>
      <c r="L70" s="9"/>
      <c r="M70" s="24"/>
    </row>
    <row r="71" spans="6:13" x14ac:dyDescent="0.3">
      <c r="F71" s="112">
        <v>56</v>
      </c>
      <c r="G71" s="47" t="s">
        <v>159</v>
      </c>
      <c r="H71" s="110">
        <v>1999</v>
      </c>
      <c r="I71" s="49"/>
      <c r="J71" s="110" t="s">
        <v>277</v>
      </c>
      <c r="K71" s="135"/>
      <c r="L71" s="9"/>
      <c r="M71" s="24"/>
    </row>
    <row r="72" spans="6:13" x14ac:dyDescent="0.3">
      <c r="F72" s="112">
        <v>57</v>
      </c>
      <c r="G72" s="47" t="s">
        <v>151</v>
      </c>
      <c r="H72" s="110">
        <v>1999</v>
      </c>
      <c r="I72" s="49"/>
      <c r="J72" s="110" t="s">
        <v>277</v>
      </c>
      <c r="K72" s="135"/>
      <c r="L72" s="9"/>
      <c r="M72" s="24"/>
    </row>
    <row r="73" spans="6:13" x14ac:dyDescent="0.3">
      <c r="F73" s="112">
        <v>58</v>
      </c>
      <c r="G73" s="275" t="s">
        <v>82</v>
      </c>
      <c r="H73" s="276">
        <v>1999</v>
      </c>
      <c r="I73" s="277">
        <v>381288.42</v>
      </c>
      <c r="J73" s="276" t="s">
        <v>195</v>
      </c>
      <c r="K73" s="135"/>
      <c r="L73" s="9"/>
      <c r="M73" s="24"/>
    </row>
    <row r="74" spans="6:13" x14ac:dyDescent="0.3">
      <c r="F74" s="112">
        <v>59</v>
      </c>
      <c r="G74" s="275" t="s">
        <v>83</v>
      </c>
      <c r="H74" s="276">
        <v>1999</v>
      </c>
      <c r="I74" s="277">
        <v>365210.38799999998</v>
      </c>
      <c r="J74" s="276" t="s">
        <v>195</v>
      </c>
      <c r="K74" s="135"/>
      <c r="L74" s="9"/>
      <c r="M74" s="24"/>
    </row>
    <row r="75" spans="6:13" x14ac:dyDescent="0.3">
      <c r="F75" s="112">
        <v>60</v>
      </c>
      <c r="G75" s="47" t="s">
        <v>132</v>
      </c>
      <c r="H75" s="110">
        <v>1998</v>
      </c>
      <c r="I75" s="49"/>
      <c r="J75" s="110" t="s">
        <v>277</v>
      </c>
      <c r="K75" s="135"/>
      <c r="L75" s="9"/>
      <c r="M75" s="24"/>
    </row>
    <row r="76" spans="6:13" x14ac:dyDescent="0.3">
      <c r="F76" s="112">
        <v>61</v>
      </c>
      <c r="G76" s="47" t="s">
        <v>127</v>
      </c>
      <c r="H76" s="110">
        <v>1998</v>
      </c>
      <c r="I76" s="49"/>
      <c r="J76" s="110" t="s">
        <v>277</v>
      </c>
      <c r="K76" s="135"/>
      <c r="L76" s="9"/>
      <c r="M76" s="24"/>
    </row>
    <row r="77" spans="6:13" x14ac:dyDescent="0.3">
      <c r="F77" s="112">
        <v>62</v>
      </c>
      <c r="G77" s="47" t="s">
        <v>149</v>
      </c>
      <c r="H77" s="110">
        <v>1998</v>
      </c>
      <c r="I77" s="49"/>
      <c r="J77" s="110" t="s">
        <v>277</v>
      </c>
      <c r="K77" s="135"/>
      <c r="L77" s="9"/>
      <c r="M77" s="24"/>
    </row>
    <row r="78" spans="6:13" x14ac:dyDescent="0.3">
      <c r="F78" s="112">
        <v>63</v>
      </c>
      <c r="G78" s="47" t="s">
        <v>124</v>
      </c>
      <c r="H78" s="110">
        <v>1997</v>
      </c>
      <c r="I78" s="49"/>
      <c r="J78" s="110" t="s">
        <v>277</v>
      </c>
      <c r="K78" s="135"/>
      <c r="L78" s="9"/>
      <c r="M78" s="24"/>
    </row>
    <row r="79" spans="6:13" x14ac:dyDescent="0.3">
      <c r="F79" s="112">
        <v>64</v>
      </c>
      <c r="G79" s="47" t="s">
        <v>123</v>
      </c>
      <c r="H79" s="110">
        <v>1997</v>
      </c>
      <c r="I79" s="49"/>
      <c r="J79" s="110" t="s">
        <v>277</v>
      </c>
      <c r="K79" s="135"/>
      <c r="L79" s="9"/>
      <c r="M79" s="24"/>
    </row>
    <row r="80" spans="6:13" x14ac:dyDescent="0.3">
      <c r="F80" s="112">
        <v>65</v>
      </c>
      <c r="G80" s="76" t="s">
        <v>105</v>
      </c>
      <c r="H80" s="108">
        <v>1996</v>
      </c>
      <c r="I80" s="583"/>
      <c r="J80" s="110" t="s">
        <v>277</v>
      </c>
      <c r="K80" s="135"/>
      <c r="L80" s="9"/>
      <c r="M80" s="24"/>
    </row>
    <row r="81" spans="6:13" x14ac:dyDescent="0.3">
      <c r="F81" s="112">
        <v>66</v>
      </c>
      <c r="G81" s="76" t="s">
        <v>106</v>
      </c>
      <c r="H81" s="109">
        <v>1996</v>
      </c>
      <c r="I81" s="584"/>
      <c r="J81" s="110" t="s">
        <v>277</v>
      </c>
      <c r="K81" s="135"/>
      <c r="L81" s="9"/>
      <c r="M81" s="24"/>
    </row>
    <row r="82" spans="6:13" x14ac:dyDescent="0.3">
      <c r="F82" s="112">
        <v>67</v>
      </c>
      <c r="G82" s="76" t="s">
        <v>111</v>
      </c>
      <c r="H82" s="108">
        <v>1995</v>
      </c>
      <c r="I82" s="49"/>
      <c r="J82" s="110" t="s">
        <v>277</v>
      </c>
      <c r="K82" s="135"/>
      <c r="L82" s="9"/>
      <c r="M82" s="24"/>
    </row>
    <row r="83" spans="6:13" x14ac:dyDescent="0.3">
      <c r="F83" s="112">
        <v>68</v>
      </c>
      <c r="G83" s="76" t="s">
        <v>112</v>
      </c>
      <c r="H83" s="108">
        <v>1995</v>
      </c>
      <c r="I83" s="49"/>
      <c r="J83" s="110" t="s">
        <v>277</v>
      </c>
      <c r="K83" s="135"/>
      <c r="L83" s="9"/>
      <c r="M83" s="24"/>
    </row>
    <row r="84" spans="6:13" x14ac:dyDescent="0.3">
      <c r="F84" s="112">
        <v>69</v>
      </c>
      <c r="G84" s="76" t="s">
        <v>92</v>
      </c>
      <c r="H84" s="108">
        <v>1994</v>
      </c>
      <c r="I84" s="49"/>
      <c r="J84" s="110" t="s">
        <v>277</v>
      </c>
      <c r="K84" s="135"/>
      <c r="L84" s="9"/>
      <c r="M84" s="24"/>
    </row>
    <row r="85" spans="6:13" x14ac:dyDescent="0.3">
      <c r="F85" s="112">
        <v>70</v>
      </c>
      <c r="G85" s="260" t="s">
        <v>101</v>
      </c>
      <c r="H85" s="108">
        <v>1992</v>
      </c>
      <c r="I85" s="258"/>
      <c r="J85" s="110" t="s">
        <v>277</v>
      </c>
      <c r="K85" s="135"/>
      <c r="L85" s="9"/>
      <c r="M85" s="24"/>
    </row>
    <row r="86" spans="6:13" x14ac:dyDescent="0.3">
      <c r="F86" s="112">
        <v>71</v>
      </c>
      <c r="G86" s="260" t="s">
        <v>104</v>
      </c>
      <c r="H86" s="109">
        <v>1992</v>
      </c>
      <c r="I86" s="259"/>
      <c r="J86" s="110" t="s">
        <v>277</v>
      </c>
      <c r="K86" s="135"/>
      <c r="L86" s="9"/>
      <c r="M86" s="24"/>
    </row>
    <row r="87" spans="6:13" x14ac:dyDescent="0.3">
      <c r="F87" s="112">
        <v>72</v>
      </c>
      <c r="G87" s="260" t="s">
        <v>102</v>
      </c>
      <c r="H87" s="108">
        <v>1991</v>
      </c>
      <c r="I87" s="258"/>
      <c r="J87" s="110" t="s">
        <v>277</v>
      </c>
      <c r="K87" s="135"/>
      <c r="L87" s="9"/>
      <c r="M87" s="24"/>
    </row>
    <row r="88" spans="6:13" x14ac:dyDescent="0.3">
      <c r="F88" s="112">
        <v>73</v>
      </c>
      <c r="G88" s="260" t="s">
        <v>103</v>
      </c>
      <c r="H88" s="108">
        <v>1991</v>
      </c>
      <c r="I88" s="258"/>
      <c r="J88" s="110" t="s">
        <v>277</v>
      </c>
      <c r="K88" s="135"/>
      <c r="L88" s="9"/>
      <c r="M88" s="24"/>
    </row>
    <row r="89" spans="6:13" x14ac:dyDescent="0.3">
      <c r="F89" s="112">
        <v>74</v>
      </c>
      <c r="G89" s="76" t="s">
        <v>81</v>
      </c>
      <c r="H89" s="108">
        <v>1988</v>
      </c>
      <c r="I89" s="49"/>
      <c r="J89" s="110" t="s">
        <v>277</v>
      </c>
      <c r="K89" s="135"/>
      <c r="L89" s="9"/>
      <c r="M89" s="24"/>
    </row>
    <row r="90" spans="6:13" x14ac:dyDescent="0.3">
      <c r="F90" s="112">
        <v>75</v>
      </c>
      <c r="G90" s="257" t="s">
        <v>187</v>
      </c>
      <c r="H90" s="110">
        <v>1983</v>
      </c>
      <c r="I90" s="258"/>
      <c r="J90" s="110" t="s">
        <v>277</v>
      </c>
      <c r="K90" s="135"/>
      <c r="L90" s="9"/>
      <c r="M90" s="24"/>
    </row>
    <row r="91" spans="6:13" x14ac:dyDescent="0.3">
      <c r="F91" s="112">
        <v>76</v>
      </c>
      <c r="G91" s="76" t="s">
        <v>100</v>
      </c>
      <c r="H91" s="108">
        <v>1982</v>
      </c>
      <c r="I91" s="49"/>
      <c r="J91" s="110" t="s">
        <v>277</v>
      </c>
      <c r="K91" s="135"/>
      <c r="L91" s="9"/>
      <c r="M91" s="24"/>
    </row>
    <row r="92" spans="6:13" x14ac:dyDescent="0.3">
      <c r="F92" s="112">
        <v>77</v>
      </c>
      <c r="G92" s="257" t="s">
        <v>186</v>
      </c>
      <c r="H92" s="110">
        <v>1981</v>
      </c>
      <c r="I92" s="258"/>
      <c r="J92" s="110" t="s">
        <v>277</v>
      </c>
      <c r="K92" s="135"/>
      <c r="L92" s="9"/>
      <c r="M92" s="24"/>
    </row>
    <row r="93" spans="6:13" x14ac:dyDescent="0.3">
      <c r="F93" s="112">
        <v>78</v>
      </c>
      <c r="G93" s="76" t="s">
        <v>80</v>
      </c>
      <c r="H93" s="108">
        <v>1980</v>
      </c>
      <c r="I93" s="49"/>
      <c r="J93" s="110" t="s">
        <v>277</v>
      </c>
      <c r="K93" s="135"/>
      <c r="L93" s="9"/>
      <c r="M93" s="24"/>
    </row>
    <row r="94" spans="6:13" x14ac:dyDescent="0.3">
      <c r="F94" s="112">
        <v>79</v>
      </c>
      <c r="G94" s="257" t="s">
        <v>182</v>
      </c>
      <c r="H94" s="110">
        <v>1980</v>
      </c>
      <c r="I94" s="258"/>
      <c r="J94" s="110" t="s">
        <v>277</v>
      </c>
      <c r="K94" s="135"/>
      <c r="L94" s="9"/>
      <c r="M94" s="24"/>
    </row>
    <row r="95" spans="6:13" x14ac:dyDescent="0.3">
      <c r="F95" s="112">
        <v>80</v>
      </c>
      <c r="G95" s="257" t="s">
        <v>183</v>
      </c>
      <c r="H95" s="110">
        <v>1980</v>
      </c>
      <c r="I95" s="258"/>
      <c r="J95" s="110" t="s">
        <v>277</v>
      </c>
      <c r="K95" s="135"/>
      <c r="L95" s="9"/>
      <c r="M95" s="24"/>
    </row>
    <row r="96" spans="6:13" x14ac:dyDescent="0.3">
      <c r="F96" s="112">
        <v>81</v>
      </c>
      <c r="G96" s="76" t="s">
        <v>79</v>
      </c>
      <c r="H96" s="108">
        <v>1977</v>
      </c>
      <c r="I96" s="49"/>
      <c r="J96" s="110" t="s">
        <v>277</v>
      </c>
      <c r="K96" s="135"/>
      <c r="L96" s="9"/>
      <c r="M96" s="24"/>
    </row>
    <row r="97" spans="6:13" x14ac:dyDescent="0.3">
      <c r="F97" s="112">
        <v>82</v>
      </c>
      <c r="G97" s="76" t="s">
        <v>78</v>
      </c>
      <c r="H97" s="108">
        <v>1975</v>
      </c>
      <c r="I97" s="49"/>
      <c r="J97" s="110" t="s">
        <v>277</v>
      </c>
      <c r="K97" s="135"/>
      <c r="L97" s="9"/>
      <c r="M97" s="24"/>
    </row>
    <row r="98" spans="6:13" x14ac:dyDescent="0.3">
      <c r="F98" s="112">
        <v>83</v>
      </c>
      <c r="G98" s="76" t="s">
        <v>87</v>
      </c>
      <c r="H98" s="108">
        <v>1974</v>
      </c>
      <c r="I98" s="49"/>
      <c r="J98" s="110" t="s">
        <v>277</v>
      </c>
      <c r="K98" s="135"/>
      <c r="L98" s="9"/>
      <c r="M98" s="24"/>
    </row>
    <row r="99" spans="6:13" x14ac:dyDescent="0.3">
      <c r="F99" s="112">
        <v>84</v>
      </c>
      <c r="G99" s="76" t="s">
        <v>88</v>
      </c>
      <c r="H99" s="108">
        <v>1974</v>
      </c>
      <c r="I99" s="49"/>
      <c r="J99" s="110" t="s">
        <v>277</v>
      </c>
      <c r="K99" s="135"/>
      <c r="L99" s="9"/>
      <c r="M99" s="24"/>
    </row>
    <row r="100" spans="6:13" x14ac:dyDescent="0.3">
      <c r="F100" s="112">
        <v>85</v>
      </c>
      <c r="G100" s="76" t="s">
        <v>89</v>
      </c>
      <c r="H100" s="108">
        <v>1974</v>
      </c>
      <c r="I100" s="49"/>
      <c r="J100" s="110" t="s">
        <v>277</v>
      </c>
      <c r="K100" s="135"/>
      <c r="L100" s="9"/>
      <c r="M100" s="24"/>
    </row>
    <row r="101" spans="6:13" x14ac:dyDescent="0.3">
      <c r="F101" s="112">
        <v>86</v>
      </c>
      <c r="G101" s="47" t="s">
        <v>156</v>
      </c>
      <c r="H101" s="110">
        <v>1974</v>
      </c>
      <c r="I101" s="49"/>
      <c r="J101" s="110" t="s">
        <v>277</v>
      </c>
      <c r="K101" s="135"/>
      <c r="L101" s="9"/>
      <c r="M101" s="24"/>
    </row>
    <row r="102" spans="6:13" x14ac:dyDescent="0.3">
      <c r="F102" s="112">
        <v>87</v>
      </c>
      <c r="G102" s="47" t="s">
        <v>157</v>
      </c>
      <c r="H102" s="110">
        <v>1974</v>
      </c>
      <c r="I102" s="49"/>
      <c r="J102" s="110" t="s">
        <v>277</v>
      </c>
      <c r="K102" s="135"/>
      <c r="L102" s="9"/>
      <c r="M102" s="24"/>
    </row>
    <row r="103" spans="6:13" x14ac:dyDescent="0.3">
      <c r="F103" s="112">
        <v>88</v>
      </c>
      <c r="G103" s="257" t="s">
        <v>184</v>
      </c>
      <c r="H103" s="110">
        <v>1973</v>
      </c>
      <c r="I103" s="258"/>
      <c r="J103" s="110" t="s">
        <v>277</v>
      </c>
      <c r="K103" s="135"/>
      <c r="L103" s="9"/>
      <c r="M103" s="24"/>
    </row>
    <row r="104" spans="6:13" x14ac:dyDescent="0.3">
      <c r="F104" s="112">
        <v>89</v>
      </c>
      <c r="G104" s="257" t="s">
        <v>185</v>
      </c>
      <c r="H104" s="110">
        <v>1973</v>
      </c>
      <c r="I104" s="258"/>
      <c r="J104" s="110" t="s">
        <v>277</v>
      </c>
      <c r="K104" s="135"/>
      <c r="L104" s="9"/>
      <c r="M104" s="24"/>
    </row>
    <row r="105" spans="6:13" x14ac:dyDescent="0.3">
      <c r="F105" s="112">
        <v>90</v>
      </c>
      <c r="G105" s="76" t="s">
        <v>91</v>
      </c>
      <c r="H105" s="108">
        <v>1971</v>
      </c>
      <c r="I105" s="49"/>
      <c r="J105" s="110" t="s">
        <v>277</v>
      </c>
      <c r="K105" s="135"/>
      <c r="L105" s="9"/>
      <c r="M105" s="24"/>
    </row>
    <row r="106" spans="6:13" x14ac:dyDescent="0.3">
      <c r="F106" s="112">
        <v>91</v>
      </c>
      <c r="G106" s="76" t="s">
        <v>90</v>
      </c>
      <c r="H106" s="108">
        <v>1970</v>
      </c>
      <c r="I106" s="49"/>
      <c r="J106" s="110" t="s">
        <v>277</v>
      </c>
      <c r="K106" s="135"/>
      <c r="L106" s="9"/>
      <c r="M106" s="24"/>
    </row>
    <row r="107" spans="6:13" x14ac:dyDescent="0.3">
      <c r="F107" s="112">
        <v>92</v>
      </c>
      <c r="G107" s="47" t="s">
        <v>138</v>
      </c>
      <c r="H107" s="110">
        <v>1969</v>
      </c>
      <c r="I107" s="49"/>
      <c r="J107" s="110" t="s">
        <v>277</v>
      </c>
      <c r="K107" s="135"/>
      <c r="L107" s="9"/>
      <c r="M107" s="24"/>
    </row>
    <row r="108" spans="6:13" x14ac:dyDescent="0.3">
      <c r="F108" s="112">
        <v>93</v>
      </c>
      <c r="G108" s="47" t="s">
        <v>139</v>
      </c>
      <c r="H108" s="110">
        <v>1969</v>
      </c>
      <c r="I108" s="49"/>
      <c r="J108" s="110" t="s">
        <v>277</v>
      </c>
      <c r="K108" s="135"/>
      <c r="L108" s="9"/>
      <c r="M108" s="24"/>
    </row>
    <row r="109" spans="6:13" x14ac:dyDescent="0.3">
      <c r="F109" s="112">
        <v>94</v>
      </c>
      <c r="G109" s="257" t="s">
        <v>180</v>
      </c>
      <c r="H109" s="110">
        <v>1967</v>
      </c>
      <c r="I109" s="258"/>
      <c r="J109" s="110" t="s">
        <v>277</v>
      </c>
      <c r="K109" s="135"/>
      <c r="L109" s="9"/>
      <c r="M109" s="24"/>
    </row>
    <row r="110" spans="6:13" x14ac:dyDescent="0.3">
      <c r="F110" s="112">
        <v>95</v>
      </c>
      <c r="G110" s="257" t="s">
        <v>181</v>
      </c>
      <c r="H110" s="110">
        <v>1967</v>
      </c>
      <c r="I110" s="258"/>
      <c r="J110" s="110" t="s">
        <v>277</v>
      </c>
      <c r="K110" s="135"/>
      <c r="L110" s="9"/>
      <c r="M110" s="24"/>
    </row>
    <row r="111" spans="6:13" x14ac:dyDescent="0.3">
      <c r="F111" s="112">
        <v>96</v>
      </c>
      <c r="G111" s="47" t="s">
        <v>137</v>
      </c>
      <c r="H111" s="110">
        <v>1967</v>
      </c>
      <c r="I111" s="49"/>
      <c r="J111" s="110" t="s">
        <v>277</v>
      </c>
      <c r="K111" s="135"/>
      <c r="L111" s="9"/>
      <c r="M111" s="24"/>
    </row>
    <row r="112" spans="6:13" x14ac:dyDescent="0.3">
      <c r="F112" s="112">
        <v>97</v>
      </c>
      <c r="G112" s="47" t="s">
        <v>136</v>
      </c>
      <c r="H112" s="110">
        <v>1966</v>
      </c>
      <c r="I112" s="49"/>
      <c r="J112" s="110" t="s">
        <v>277</v>
      </c>
      <c r="K112" s="135"/>
      <c r="L112" s="9"/>
      <c r="M112" s="24"/>
    </row>
    <row r="113" spans="6:13" x14ac:dyDescent="0.3">
      <c r="F113" s="112">
        <v>98</v>
      </c>
      <c r="G113" s="47" t="s">
        <v>154</v>
      </c>
      <c r="H113" s="110">
        <v>1962</v>
      </c>
      <c r="I113" s="49"/>
      <c r="J113" s="110" t="s">
        <v>277</v>
      </c>
      <c r="K113" s="135"/>
      <c r="L113" s="9"/>
      <c r="M113" s="24"/>
    </row>
    <row r="114" spans="6:13" x14ac:dyDescent="0.3">
      <c r="F114" s="112">
        <v>99</v>
      </c>
      <c r="G114" s="47" t="s">
        <v>131</v>
      </c>
      <c r="H114" s="110">
        <v>1958</v>
      </c>
      <c r="I114" s="49"/>
      <c r="J114" s="110" t="s">
        <v>277</v>
      </c>
      <c r="K114" s="135"/>
      <c r="L114" s="9"/>
      <c r="M114" s="24"/>
    </row>
    <row r="115" spans="6:13" x14ac:dyDescent="0.3">
      <c r="F115" s="112">
        <v>100</v>
      </c>
      <c r="G115" s="47" t="s">
        <v>143</v>
      </c>
      <c r="H115" s="110">
        <v>1958</v>
      </c>
      <c r="I115" s="49"/>
      <c r="J115" s="110" t="s">
        <v>277</v>
      </c>
      <c r="K115" s="135"/>
      <c r="L115" s="9"/>
      <c r="M115" s="24"/>
    </row>
    <row r="116" spans="6:13" x14ac:dyDescent="0.3">
      <c r="F116" s="112">
        <v>101</v>
      </c>
      <c r="G116" s="47" t="s">
        <v>148</v>
      </c>
      <c r="H116" s="110">
        <v>1958</v>
      </c>
      <c r="I116" s="49"/>
      <c r="J116" s="110" t="s">
        <v>277</v>
      </c>
      <c r="K116" s="135"/>
      <c r="L116" s="9"/>
      <c r="M116" s="24"/>
    </row>
    <row r="117" spans="6:13" x14ac:dyDescent="0.3">
      <c r="F117" s="112">
        <v>102</v>
      </c>
      <c r="G117" s="257" t="s">
        <v>177</v>
      </c>
      <c r="H117" s="110">
        <v>1958</v>
      </c>
      <c r="I117" s="258"/>
      <c r="J117" s="110" t="s">
        <v>277</v>
      </c>
      <c r="K117" s="135"/>
      <c r="L117" s="9"/>
      <c r="M117" s="24"/>
    </row>
    <row r="118" spans="6:13" x14ac:dyDescent="0.3">
      <c r="F118" s="112">
        <v>103</v>
      </c>
      <c r="G118" s="47" t="s">
        <v>135</v>
      </c>
      <c r="H118" s="110">
        <v>1956</v>
      </c>
      <c r="I118" s="49"/>
      <c r="J118" s="110" t="s">
        <v>277</v>
      </c>
      <c r="K118" s="135"/>
      <c r="L118" s="9"/>
      <c r="M118" s="24"/>
    </row>
    <row r="119" spans="6:13" x14ac:dyDescent="0.3">
      <c r="F119" s="112">
        <v>104</v>
      </c>
      <c r="G119" s="47" t="s">
        <v>130</v>
      </c>
      <c r="H119" s="110">
        <v>1945</v>
      </c>
      <c r="I119" s="49"/>
      <c r="J119" s="110" t="s">
        <v>277</v>
      </c>
      <c r="K119" s="135"/>
      <c r="L119" s="9"/>
      <c r="M119" s="24"/>
    </row>
    <row r="120" spans="6:13" x14ac:dyDescent="0.3">
      <c r="F120" s="112">
        <v>105</v>
      </c>
      <c r="G120" s="47" t="s">
        <v>146</v>
      </c>
      <c r="H120" s="110">
        <v>1944</v>
      </c>
      <c r="I120" s="49"/>
      <c r="J120" s="110" t="s">
        <v>277</v>
      </c>
      <c r="K120" s="135"/>
      <c r="L120" s="9"/>
      <c r="M120" s="24"/>
    </row>
    <row r="121" spans="6:13" x14ac:dyDescent="0.3">
      <c r="F121" s="112">
        <v>106</v>
      </c>
      <c r="G121" s="47" t="s">
        <v>147</v>
      </c>
      <c r="H121" s="110">
        <v>1944</v>
      </c>
      <c r="I121" s="49"/>
      <c r="J121" s="110" t="s">
        <v>277</v>
      </c>
      <c r="K121" s="135"/>
      <c r="L121" s="9"/>
      <c r="M121" s="24"/>
    </row>
    <row r="122" spans="6:13" x14ac:dyDescent="0.3">
      <c r="F122" s="112">
        <v>107</v>
      </c>
      <c r="G122" s="47" t="s">
        <v>129</v>
      </c>
      <c r="H122" s="110">
        <v>1943</v>
      </c>
      <c r="I122" s="49"/>
      <c r="J122" s="110" t="s">
        <v>277</v>
      </c>
      <c r="K122" s="135"/>
      <c r="L122" s="9"/>
      <c r="M122" s="24"/>
    </row>
    <row r="123" spans="6:13" x14ac:dyDescent="0.3">
      <c r="F123" s="112">
        <v>108</v>
      </c>
      <c r="G123" s="47" t="s">
        <v>128</v>
      </c>
      <c r="H123" s="110">
        <v>1942</v>
      </c>
      <c r="I123" s="49"/>
      <c r="J123" s="110" t="s">
        <v>277</v>
      </c>
      <c r="K123" s="135"/>
      <c r="L123" s="9"/>
      <c r="M123" s="24"/>
    </row>
    <row r="124" spans="6:13" x14ac:dyDescent="0.3">
      <c r="F124" s="112">
        <v>109</v>
      </c>
      <c r="G124" s="257" t="s">
        <v>175</v>
      </c>
      <c r="H124" s="110">
        <v>1942</v>
      </c>
      <c r="I124" s="258"/>
      <c r="J124" s="110" t="s">
        <v>277</v>
      </c>
      <c r="K124" s="135"/>
      <c r="L124" s="9"/>
      <c r="M124" s="24"/>
    </row>
    <row r="125" spans="6:13" x14ac:dyDescent="0.3">
      <c r="F125" s="112">
        <v>110</v>
      </c>
      <c r="G125" s="257" t="s">
        <v>178</v>
      </c>
      <c r="H125" s="110">
        <v>1942</v>
      </c>
      <c r="I125" s="258"/>
      <c r="J125" s="110" t="s">
        <v>277</v>
      </c>
      <c r="K125" s="135"/>
      <c r="L125" s="9"/>
      <c r="M125" s="24"/>
    </row>
    <row r="126" spans="6:13" x14ac:dyDescent="0.3">
      <c r="F126" s="112">
        <v>111</v>
      </c>
      <c r="G126" s="47" t="s">
        <v>126</v>
      </c>
      <c r="H126" s="110">
        <v>1941</v>
      </c>
      <c r="I126" s="49"/>
      <c r="J126" s="110" t="s">
        <v>277</v>
      </c>
      <c r="K126" s="135"/>
      <c r="L126" s="9"/>
      <c r="M126" s="24"/>
    </row>
    <row r="127" spans="6:13" x14ac:dyDescent="0.3">
      <c r="F127" s="112">
        <v>112</v>
      </c>
      <c r="G127" s="47" t="s">
        <v>145</v>
      </c>
      <c r="H127" s="110">
        <v>1939</v>
      </c>
      <c r="I127" s="49"/>
      <c r="J127" s="110" t="s">
        <v>277</v>
      </c>
      <c r="K127" s="135"/>
      <c r="L127" s="9"/>
      <c r="M127" s="24"/>
    </row>
    <row r="128" spans="6:13" x14ac:dyDescent="0.3">
      <c r="F128" s="112">
        <v>113</v>
      </c>
      <c r="G128" s="47" t="s">
        <v>125</v>
      </c>
      <c r="H128" s="110">
        <v>1938</v>
      </c>
      <c r="I128" s="49"/>
      <c r="J128" s="110" t="s">
        <v>277</v>
      </c>
      <c r="K128" s="135"/>
      <c r="L128" s="9"/>
      <c r="M128" s="24"/>
    </row>
    <row r="129" spans="6:13" x14ac:dyDescent="0.3">
      <c r="F129" s="112">
        <v>114</v>
      </c>
      <c r="G129" s="47" t="s">
        <v>142</v>
      </c>
      <c r="H129" s="110">
        <v>1936</v>
      </c>
      <c r="I129" s="49"/>
      <c r="J129" s="110" t="s">
        <v>277</v>
      </c>
      <c r="K129" s="135"/>
      <c r="L129" s="9"/>
      <c r="M129" s="24"/>
    </row>
    <row r="130" spans="6:13" x14ac:dyDescent="0.3">
      <c r="F130" s="112">
        <v>115</v>
      </c>
      <c r="G130" s="257" t="s">
        <v>174</v>
      </c>
      <c r="H130" s="110">
        <v>1936</v>
      </c>
      <c r="I130" s="258"/>
      <c r="J130" s="110" t="s">
        <v>277</v>
      </c>
      <c r="K130" s="135"/>
      <c r="L130" s="9"/>
      <c r="M130" s="24"/>
    </row>
    <row r="131" spans="6:13" x14ac:dyDescent="0.3">
      <c r="F131" s="112">
        <v>116</v>
      </c>
      <c r="G131" s="47" t="s">
        <v>140</v>
      </c>
      <c r="H131" s="110">
        <v>1931</v>
      </c>
      <c r="I131" s="49"/>
      <c r="J131" s="110" t="s">
        <v>277</v>
      </c>
      <c r="K131" s="135"/>
      <c r="L131" s="9"/>
      <c r="M131" s="24"/>
    </row>
    <row r="132" spans="6:13" x14ac:dyDescent="0.3">
      <c r="F132" s="112">
        <v>117</v>
      </c>
      <c r="G132" s="47" t="s">
        <v>141</v>
      </c>
      <c r="H132" s="110">
        <v>1931</v>
      </c>
      <c r="I132" s="49"/>
      <c r="J132" s="110" t="s">
        <v>277</v>
      </c>
      <c r="K132" s="135"/>
      <c r="L132" s="9"/>
      <c r="M132" s="24"/>
    </row>
    <row r="133" spans="6:13" x14ac:dyDescent="0.3">
      <c r="F133" s="9"/>
    </row>
    <row r="134" spans="6:13" x14ac:dyDescent="0.3">
      <c r="F134" s="9"/>
      <c r="G134" s="253" t="s">
        <v>36</v>
      </c>
      <c r="H134" s="254"/>
      <c r="I134" s="258"/>
      <c r="J134" s="9"/>
      <c r="K134" s="9"/>
    </row>
    <row r="135" spans="6:13" x14ac:dyDescent="0.3">
      <c r="F135" s="9"/>
      <c r="G135" s="253" t="s">
        <v>37</v>
      </c>
      <c r="H135" s="254"/>
      <c r="I135" s="258"/>
      <c r="J135" s="9"/>
      <c r="K135" s="9"/>
    </row>
    <row r="136" spans="6:13" x14ac:dyDescent="0.3">
      <c r="F136" s="9"/>
      <c r="G136" s="255" t="s">
        <v>3</v>
      </c>
      <c r="H136" s="254"/>
      <c r="I136" s="259"/>
      <c r="J136" s="9"/>
      <c r="K136" s="9"/>
    </row>
    <row r="137" spans="6:13" x14ac:dyDescent="0.3">
      <c r="F137" s="9"/>
      <c r="G137" s="256" t="s">
        <v>45</v>
      </c>
      <c r="H137" s="262"/>
      <c r="I137" s="261"/>
      <c r="J137" s="9"/>
      <c r="K137" s="9"/>
    </row>
    <row r="138" spans="6:13" x14ac:dyDescent="0.3">
      <c r="F138" s="9"/>
      <c r="G138" s="253" t="s">
        <v>2</v>
      </c>
      <c r="H138" s="254"/>
      <c r="I138" s="258"/>
      <c r="J138" s="9"/>
      <c r="K138" s="9"/>
    </row>
    <row r="139" spans="6:13" x14ac:dyDescent="0.3">
      <c r="F139" s="9"/>
    </row>
    <row r="140" spans="6:13" x14ac:dyDescent="0.3">
      <c r="F140" s="9"/>
    </row>
    <row r="141" spans="6:13" x14ac:dyDescent="0.3">
      <c r="F141" s="9"/>
    </row>
    <row r="142" spans="6:13" x14ac:dyDescent="0.3">
      <c r="F142" s="9"/>
    </row>
    <row r="143" spans="6:13" x14ac:dyDescent="0.3">
      <c r="F143" s="9"/>
    </row>
    <row r="144" spans="6:13" x14ac:dyDescent="0.3">
      <c r="F144" s="9"/>
    </row>
    <row r="145" spans="6:12" x14ac:dyDescent="0.3">
      <c r="F145" s="9"/>
      <c r="G145" s="113"/>
      <c r="H145" s="28"/>
      <c r="I145" s="9"/>
      <c r="J145" s="30"/>
      <c r="K145" s="9"/>
    </row>
    <row r="146" spans="6:12" x14ac:dyDescent="0.3">
      <c r="F146" s="9"/>
      <c r="G146" s="113"/>
      <c r="H146" s="28"/>
      <c r="I146" s="9"/>
      <c r="J146" s="30"/>
      <c r="K146" s="9"/>
      <c r="L146" s="9"/>
    </row>
    <row r="147" spans="6:12" x14ac:dyDescent="0.3">
      <c r="F147" s="9"/>
      <c r="G147" s="113"/>
      <c r="H147" s="28"/>
      <c r="I147" s="9"/>
      <c r="J147" s="30"/>
      <c r="K147" s="9"/>
    </row>
    <row r="148" spans="6:12" x14ac:dyDescent="0.3">
      <c r="F148" s="9"/>
      <c r="G148" s="113"/>
      <c r="H148" s="28"/>
      <c r="I148" s="9"/>
      <c r="J148" s="30"/>
      <c r="K148" s="9"/>
    </row>
    <row r="149" spans="6:12" x14ac:dyDescent="0.3">
      <c r="F149" s="9"/>
      <c r="G149" s="113"/>
      <c r="H149" s="28"/>
      <c r="I149" s="9"/>
      <c r="J149" s="30"/>
      <c r="K149" s="9"/>
    </row>
    <row r="150" spans="6:12" x14ac:dyDescent="0.3">
      <c r="F150" s="9"/>
    </row>
    <row r="151" spans="6:12" x14ac:dyDescent="0.3">
      <c r="F151" s="9"/>
    </row>
    <row r="152" spans="6:12" x14ac:dyDescent="0.3">
      <c r="F152" s="9"/>
    </row>
    <row r="153" spans="6:12" x14ac:dyDescent="0.3">
      <c r="F153" s="9"/>
    </row>
    <row r="154" spans="6:12" x14ac:dyDescent="0.3">
      <c r="F154" s="9"/>
    </row>
    <row r="155" spans="6:12" x14ac:dyDescent="0.3">
      <c r="F155" s="9"/>
    </row>
    <row r="156" spans="6:12" x14ac:dyDescent="0.3">
      <c r="F156" s="9"/>
    </row>
    <row r="157" spans="6:12" x14ac:dyDescent="0.3">
      <c r="F157" s="9"/>
    </row>
    <row r="158" spans="6:12" x14ac:dyDescent="0.3">
      <c r="F158" s="9"/>
    </row>
  </sheetData>
  <mergeCells count="8">
    <mergeCell ref="I57:I58"/>
    <mergeCell ref="I80:I81"/>
    <mergeCell ref="G6:J6"/>
    <mergeCell ref="G7:J7"/>
    <mergeCell ref="G8:J8"/>
    <mergeCell ref="G9:J9"/>
    <mergeCell ref="G10:J10"/>
    <mergeCell ref="G11:J11"/>
  </mergeCells>
  <pageMargins left="0.7" right="0.7" top="0.75" bottom="0.75" header="0.3" footer="0.3"/>
  <pageSetup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B3:M131"/>
  <sheetViews>
    <sheetView zoomScaleNormal="100" workbookViewId="0"/>
  </sheetViews>
  <sheetFormatPr baseColWidth="10" defaultColWidth="9.109375" defaultRowHeight="14.4" x14ac:dyDescent="0.3"/>
  <cols>
    <col min="1" max="5" width="9.109375" style="1"/>
    <col min="6" max="6" width="5.44140625" style="1" customWidth="1"/>
    <col min="7" max="7" width="14.6640625" style="1" customWidth="1"/>
    <col min="8" max="8" width="23.88671875" style="1" customWidth="1"/>
    <col min="9" max="9" width="14" style="1" bestFit="1" customWidth="1"/>
    <col min="10" max="10" width="16.33203125" style="1" customWidth="1"/>
    <col min="11" max="11" width="14.44140625" style="1" customWidth="1"/>
    <col min="12" max="12" width="15.5546875" style="1" customWidth="1"/>
    <col min="13" max="13" width="11.109375" style="1" bestFit="1" customWidth="1"/>
    <col min="14" max="16384" width="9.109375" style="1"/>
  </cols>
  <sheetData>
    <row r="3" spans="2:13" s="9" customFormat="1" ht="21.6" customHeight="1" x14ac:dyDescent="0.45">
      <c r="B3" s="309" t="s">
        <v>359</v>
      </c>
      <c r="C3" s="308"/>
      <c r="D3" s="308"/>
      <c r="E3" s="308"/>
      <c r="F3" s="308"/>
      <c r="G3" s="310">
        <v>2010</v>
      </c>
    </row>
    <row r="4" spans="2:13" s="9" customFormat="1" ht="15.6" customHeight="1" x14ac:dyDescent="0.3"/>
    <row r="5" spans="2:13" s="9" customFormat="1" ht="15.6" customHeight="1" thickBot="1" x14ac:dyDescent="0.35"/>
    <row r="6" spans="2:13" x14ac:dyDescent="0.3">
      <c r="G6" s="585" t="s">
        <v>196</v>
      </c>
      <c r="H6" s="586"/>
      <c r="I6" s="586"/>
      <c r="J6" s="586"/>
      <c r="K6" s="283">
        <f>+OM_EF_2010!C6</f>
        <v>6085440.8650679979</v>
      </c>
      <c r="L6" s="136"/>
    </row>
    <row r="7" spans="2:13" ht="15.6" x14ac:dyDescent="0.3">
      <c r="G7" s="587" t="s">
        <v>199</v>
      </c>
      <c r="H7" s="588"/>
      <c r="I7" s="588"/>
      <c r="J7" s="588"/>
      <c r="K7" s="137">
        <f>+K6-I38-I46-I47</f>
        <v>5401085.527083721</v>
      </c>
      <c r="L7" s="138" t="s">
        <v>200</v>
      </c>
    </row>
    <row r="8" spans="2:13" x14ac:dyDescent="0.3">
      <c r="G8" s="589" t="s">
        <v>204</v>
      </c>
      <c r="H8" s="590"/>
      <c r="I8" s="590"/>
      <c r="J8" s="590"/>
      <c r="K8" s="140">
        <f>+K7*0.2</f>
        <v>1080217.1054167442</v>
      </c>
      <c r="L8" s="141"/>
    </row>
    <row r="9" spans="2:13" ht="15.6" x14ac:dyDescent="0.35">
      <c r="G9" s="589" t="s">
        <v>202</v>
      </c>
      <c r="H9" s="590"/>
      <c r="I9" s="590"/>
      <c r="J9" s="590"/>
      <c r="K9" s="142">
        <f>+K20</f>
        <v>478968.99510000006</v>
      </c>
      <c r="L9" s="141" t="s">
        <v>201</v>
      </c>
    </row>
    <row r="10" spans="2:13" ht="15.6" x14ac:dyDescent="0.3">
      <c r="G10" s="591" t="s">
        <v>206</v>
      </c>
      <c r="H10" s="592"/>
      <c r="I10" s="592"/>
      <c r="J10" s="592"/>
      <c r="K10" s="145">
        <f>K34</f>
        <v>1092075.56589183</v>
      </c>
      <c r="L10" s="146" t="s">
        <v>203</v>
      </c>
    </row>
    <row r="11" spans="2:13" ht="15" thickBot="1" x14ac:dyDescent="0.35">
      <c r="G11" s="593" t="s">
        <v>207</v>
      </c>
      <c r="H11" s="594"/>
      <c r="I11" s="594"/>
      <c r="J11" s="594"/>
      <c r="K11" s="143">
        <f>+SUM(M16:M34)</f>
        <v>603568.87067165656</v>
      </c>
      <c r="L11" s="144"/>
    </row>
    <row r="12" spans="2:13" ht="15" thickBot="1" x14ac:dyDescent="0.35"/>
    <row r="13" spans="2:13" ht="16.2" thickBot="1" x14ac:dyDescent="0.4">
      <c r="H13" s="96" t="s">
        <v>205</v>
      </c>
      <c r="I13" s="97">
        <f>+K11/K10</f>
        <v>0.5526805008028538</v>
      </c>
    </row>
    <row r="15" spans="2:13" ht="45" thickBot="1" x14ac:dyDescent="0.35">
      <c r="F15" s="311" t="s">
        <v>192</v>
      </c>
      <c r="G15" s="311" t="s">
        <v>193</v>
      </c>
      <c r="H15" s="311" t="s">
        <v>172</v>
      </c>
      <c r="I15" s="312" t="s">
        <v>197</v>
      </c>
      <c r="J15" s="311" t="s">
        <v>194</v>
      </c>
      <c r="K15" s="311" t="s">
        <v>198</v>
      </c>
      <c r="L15" s="312" t="s">
        <v>209</v>
      </c>
      <c r="M15" s="311" t="s">
        <v>208</v>
      </c>
    </row>
    <row r="16" spans="2:13" x14ac:dyDescent="0.3">
      <c r="F16" s="117">
        <v>1</v>
      </c>
      <c r="G16" s="118" t="s">
        <v>107</v>
      </c>
      <c r="H16" s="119">
        <v>2010</v>
      </c>
      <c r="I16" s="120">
        <v>94768</v>
      </c>
      <c r="J16" s="121" t="s">
        <v>277</v>
      </c>
      <c r="K16" s="291">
        <f>+I16</f>
        <v>94768</v>
      </c>
      <c r="L16" s="321">
        <f>+OM_EF_2010!G45</f>
        <v>0.60117923649088267</v>
      </c>
      <c r="M16" s="292">
        <f>+L16*I16</f>
        <v>56972.553883767971</v>
      </c>
    </row>
    <row r="17" spans="6:13" x14ac:dyDescent="0.3">
      <c r="F17" s="122">
        <v>2</v>
      </c>
      <c r="G17" s="76" t="s">
        <v>108</v>
      </c>
      <c r="H17" s="109">
        <v>2010</v>
      </c>
      <c r="I17" s="53">
        <v>123773.2823375</v>
      </c>
      <c r="J17" s="110" t="s">
        <v>277</v>
      </c>
      <c r="K17" s="281">
        <f>+I17+K16</f>
        <v>218541.28233750002</v>
      </c>
      <c r="L17" s="59">
        <f>+OM_EF_2010!G46</f>
        <v>0.59484604969315447</v>
      </c>
      <c r="M17" s="293">
        <f t="shared" ref="M17:M34" si="0">+L17*I17</f>
        <v>73626.04805601736</v>
      </c>
    </row>
    <row r="18" spans="6:13" x14ac:dyDescent="0.3">
      <c r="F18" s="122">
        <v>3</v>
      </c>
      <c r="G18" s="76" t="s">
        <v>109</v>
      </c>
      <c r="H18" s="109">
        <v>2010</v>
      </c>
      <c r="I18" s="53">
        <v>109541.1267625</v>
      </c>
      <c r="J18" s="110" t="s">
        <v>277</v>
      </c>
      <c r="K18" s="281">
        <f t="shared" ref="K18:K34" si="1">+I18+K17</f>
        <v>328082.40910000005</v>
      </c>
      <c r="L18" s="59">
        <f>+OM_EF_2010!G47</f>
        <v>0.5954379363097646</v>
      </c>
      <c r="M18" s="293">
        <f t="shared" si="0"/>
        <v>65224.94246050933</v>
      </c>
    </row>
    <row r="19" spans="6:13" x14ac:dyDescent="0.3">
      <c r="F19" s="122">
        <v>4</v>
      </c>
      <c r="G19" s="76" t="s">
        <v>110</v>
      </c>
      <c r="H19" s="109">
        <v>2010</v>
      </c>
      <c r="I19" s="53">
        <v>77401.001000000004</v>
      </c>
      <c r="J19" s="110" t="s">
        <v>277</v>
      </c>
      <c r="K19" s="281">
        <f t="shared" si="1"/>
        <v>405483.41010000004</v>
      </c>
      <c r="L19" s="59">
        <f>+OM_EF_2010!G48</f>
        <v>0.59383984244491728</v>
      </c>
      <c r="M19" s="293">
        <f t="shared" si="0"/>
        <v>45963.798238918884</v>
      </c>
    </row>
    <row r="20" spans="6:13" ht="15" thickBot="1" x14ac:dyDescent="0.35">
      <c r="F20" s="123">
        <v>5</v>
      </c>
      <c r="G20" s="124" t="s">
        <v>85</v>
      </c>
      <c r="H20" s="125">
        <v>2009</v>
      </c>
      <c r="I20" s="126">
        <v>73485.584999999992</v>
      </c>
      <c r="J20" s="127" t="s">
        <v>277</v>
      </c>
      <c r="K20" s="297">
        <f t="shared" si="1"/>
        <v>478968.99510000006</v>
      </c>
      <c r="L20" s="322">
        <f>+OM_EF_2010!G65</f>
        <v>0.70138564068297304</v>
      </c>
      <c r="M20" s="298">
        <f t="shared" si="0"/>
        <v>51541.734116188069</v>
      </c>
    </row>
    <row r="21" spans="6:13" x14ac:dyDescent="0.3">
      <c r="F21" s="128">
        <v>6</v>
      </c>
      <c r="G21" s="118" t="s">
        <v>86</v>
      </c>
      <c r="H21" s="119">
        <v>2009</v>
      </c>
      <c r="I21" s="120">
        <v>86746.319999999992</v>
      </c>
      <c r="J21" s="121" t="s">
        <v>277</v>
      </c>
      <c r="K21" s="291">
        <f t="shared" si="1"/>
        <v>565715.31510000001</v>
      </c>
      <c r="L21" s="102">
        <f>+OM_EF_2010!G66</f>
        <v>0.69085005890731344</v>
      </c>
      <c r="M21" s="320">
        <f t="shared" si="0"/>
        <v>59928.700281992657</v>
      </c>
    </row>
    <row r="22" spans="6:13" x14ac:dyDescent="0.3">
      <c r="F22" s="129">
        <v>7</v>
      </c>
      <c r="G22" s="76" t="s">
        <v>97</v>
      </c>
      <c r="H22" s="108">
        <v>2008</v>
      </c>
      <c r="I22" s="49">
        <v>8526.9006409999947</v>
      </c>
      <c r="J22" s="110" t="s">
        <v>277</v>
      </c>
      <c r="K22" s="281">
        <f t="shared" si="1"/>
        <v>574242.21574100002</v>
      </c>
      <c r="L22" s="59">
        <f>+OM_EF_2010!G35</f>
        <v>0.53565738803214413</v>
      </c>
      <c r="M22" s="303">
        <f t="shared" si="0"/>
        <v>4567.4973253676726</v>
      </c>
    </row>
    <row r="23" spans="6:13" x14ac:dyDescent="0.3">
      <c r="F23" s="129">
        <v>8</v>
      </c>
      <c r="G23" s="76" t="s">
        <v>98</v>
      </c>
      <c r="H23" s="109">
        <v>2008</v>
      </c>
      <c r="I23" s="53">
        <v>7797.8255404000083</v>
      </c>
      <c r="J23" s="110" t="s">
        <v>277</v>
      </c>
      <c r="K23" s="281">
        <f t="shared" si="1"/>
        <v>582040.04128140002</v>
      </c>
      <c r="L23" s="59">
        <f>+OM_EF_2010!G36</f>
        <v>0.53565738803214413</v>
      </c>
      <c r="M23" s="303">
        <f t="shared" si="0"/>
        <v>4176.9628613010109</v>
      </c>
    </row>
    <row r="24" spans="6:13" x14ac:dyDescent="0.3">
      <c r="F24" s="129">
        <v>9</v>
      </c>
      <c r="G24" s="76" t="s">
        <v>99</v>
      </c>
      <c r="H24" s="108">
        <v>2008</v>
      </c>
      <c r="I24" s="49">
        <v>0</v>
      </c>
      <c r="J24" s="110" t="s">
        <v>277</v>
      </c>
      <c r="K24" s="281">
        <f t="shared" si="1"/>
        <v>582040.04128140002</v>
      </c>
      <c r="L24" s="59">
        <f>+OM_EF_2010!G37</f>
        <v>0.53565738803214413</v>
      </c>
      <c r="M24" s="303">
        <f t="shared" si="0"/>
        <v>0</v>
      </c>
    </row>
    <row r="25" spans="6:13" x14ac:dyDescent="0.3">
      <c r="F25" s="129">
        <v>10</v>
      </c>
      <c r="G25" s="47" t="s">
        <v>144</v>
      </c>
      <c r="H25" s="110">
        <v>2008</v>
      </c>
      <c r="I25" s="49">
        <v>5760.9160000000011</v>
      </c>
      <c r="J25" s="110" t="s">
        <v>277</v>
      </c>
      <c r="K25" s="281">
        <f t="shared" si="1"/>
        <v>587800.95728139998</v>
      </c>
      <c r="L25" s="112">
        <v>0</v>
      </c>
      <c r="M25" s="303">
        <f t="shared" si="0"/>
        <v>0</v>
      </c>
    </row>
    <row r="26" spans="6:13" x14ac:dyDescent="0.3">
      <c r="F26" s="129">
        <v>11</v>
      </c>
      <c r="G26" s="76" t="s">
        <v>93</v>
      </c>
      <c r="H26" s="108">
        <v>2007</v>
      </c>
      <c r="I26" s="49">
        <v>8515.6443321999977</v>
      </c>
      <c r="J26" s="110" t="s">
        <v>277</v>
      </c>
      <c r="K26" s="281">
        <f t="shared" si="1"/>
        <v>596316.60161360004</v>
      </c>
      <c r="L26" s="59">
        <f>+OM_EF_2010!G31</f>
        <v>0.53565738803214413</v>
      </c>
      <c r="M26" s="303">
        <f t="shared" si="0"/>
        <v>4561.467800396983</v>
      </c>
    </row>
    <row r="27" spans="6:13" x14ac:dyDescent="0.3">
      <c r="F27" s="129">
        <v>12</v>
      </c>
      <c r="G27" s="76" t="s">
        <v>94</v>
      </c>
      <c r="H27" s="108">
        <v>2007</v>
      </c>
      <c r="I27" s="49">
        <v>5375.3301001449963</v>
      </c>
      <c r="J27" s="110" t="s">
        <v>277</v>
      </c>
      <c r="K27" s="281">
        <f t="shared" si="1"/>
        <v>601691.931713745</v>
      </c>
      <c r="L27" s="59">
        <f>+OM_EF_2010!G32</f>
        <v>0.53565738803214413</v>
      </c>
      <c r="M27" s="303">
        <f t="shared" si="0"/>
        <v>2879.3352812542325</v>
      </c>
    </row>
    <row r="28" spans="6:13" x14ac:dyDescent="0.3">
      <c r="F28" s="129">
        <v>13</v>
      </c>
      <c r="G28" s="76" t="s">
        <v>95</v>
      </c>
      <c r="H28" s="108">
        <v>2007</v>
      </c>
      <c r="I28" s="49">
        <v>5023.2107812749982</v>
      </c>
      <c r="J28" s="110" t="s">
        <v>277</v>
      </c>
      <c r="K28" s="281">
        <f t="shared" si="1"/>
        <v>606715.14249501994</v>
      </c>
      <c r="L28" s="59">
        <f>+OM_EF_2010!G33</f>
        <v>0.53565738803214413</v>
      </c>
      <c r="M28" s="303">
        <f t="shared" si="0"/>
        <v>2690.7199666326715</v>
      </c>
    </row>
    <row r="29" spans="6:13" x14ac:dyDescent="0.3">
      <c r="F29" s="129">
        <v>14</v>
      </c>
      <c r="G29" s="76" t="s">
        <v>96</v>
      </c>
      <c r="H29" s="108">
        <v>2007</v>
      </c>
      <c r="I29" s="49">
        <v>2147.3923148100002</v>
      </c>
      <c r="J29" s="110" t="s">
        <v>277</v>
      </c>
      <c r="K29" s="281">
        <f t="shared" si="1"/>
        <v>608862.5348098299</v>
      </c>
      <c r="L29" s="59">
        <f>+OM_EF_2010!G34</f>
        <v>0.53565738803214413</v>
      </c>
      <c r="M29" s="303">
        <f t="shared" si="0"/>
        <v>1150.2665584314245</v>
      </c>
    </row>
    <row r="30" spans="6:13" x14ac:dyDescent="0.3">
      <c r="F30" s="129">
        <v>15</v>
      </c>
      <c r="G30" s="47" t="s">
        <v>189</v>
      </c>
      <c r="H30" s="110">
        <v>2007</v>
      </c>
      <c r="I30" s="595">
        <v>3310.4</v>
      </c>
      <c r="J30" s="110" t="s">
        <v>277</v>
      </c>
      <c r="K30" s="281">
        <f>+I30+K29</f>
        <v>612172.93480982992</v>
      </c>
      <c r="L30" s="112">
        <v>0</v>
      </c>
      <c r="M30" s="303">
        <f t="shared" si="0"/>
        <v>0</v>
      </c>
    </row>
    <row r="31" spans="6:13" x14ac:dyDescent="0.3">
      <c r="F31" s="129">
        <v>16</v>
      </c>
      <c r="G31" s="47" t="s">
        <v>190</v>
      </c>
      <c r="H31" s="110">
        <v>2007</v>
      </c>
      <c r="I31" s="596"/>
      <c r="J31" s="110" t="s">
        <v>277</v>
      </c>
      <c r="K31" s="281">
        <f>+I31+K30</f>
        <v>612172.93480982992</v>
      </c>
      <c r="L31" s="112">
        <v>0</v>
      </c>
      <c r="M31" s="303">
        <f t="shared" si="0"/>
        <v>0</v>
      </c>
    </row>
    <row r="32" spans="6:13" x14ac:dyDescent="0.3">
      <c r="F32" s="129">
        <v>17</v>
      </c>
      <c r="G32" s="47" t="s">
        <v>191</v>
      </c>
      <c r="H32" s="110">
        <v>2007</v>
      </c>
      <c r="I32" s="49">
        <v>58156.17</v>
      </c>
      <c r="J32" s="110" t="s">
        <v>277</v>
      </c>
      <c r="K32" s="281">
        <f>+I32+K31</f>
        <v>670329.10480982997</v>
      </c>
      <c r="L32" s="112">
        <v>0</v>
      </c>
      <c r="M32" s="303">
        <f t="shared" si="0"/>
        <v>0</v>
      </c>
    </row>
    <row r="33" spans="6:13" x14ac:dyDescent="0.3">
      <c r="F33" s="129">
        <v>18</v>
      </c>
      <c r="G33" s="76" t="s">
        <v>84</v>
      </c>
      <c r="H33" s="108">
        <v>2007</v>
      </c>
      <c r="I33" s="49">
        <v>386364.63308200007</v>
      </c>
      <c r="J33" s="110" t="s">
        <v>277</v>
      </c>
      <c r="K33" s="281">
        <f t="shared" si="1"/>
        <v>1056693.73789183</v>
      </c>
      <c r="L33" s="59">
        <f>+OM_EF_2010!G58</f>
        <v>0.59602982292637463</v>
      </c>
      <c r="M33" s="303">
        <f t="shared" si="0"/>
        <v>230284.84384087819</v>
      </c>
    </row>
    <row r="34" spans="6:13" ht="15" thickBot="1" x14ac:dyDescent="0.35">
      <c r="F34" s="130">
        <v>19</v>
      </c>
      <c r="G34" s="131" t="s">
        <v>133</v>
      </c>
      <c r="H34" s="132">
        <v>2006</v>
      </c>
      <c r="I34" s="133">
        <v>35381.828000000001</v>
      </c>
      <c r="J34" s="132" t="s">
        <v>277</v>
      </c>
      <c r="K34" s="318">
        <f t="shared" si="1"/>
        <v>1092075.56589183</v>
      </c>
      <c r="L34" s="319">
        <v>0</v>
      </c>
      <c r="M34" s="307">
        <f t="shared" si="0"/>
        <v>0</v>
      </c>
    </row>
    <row r="35" spans="6:13" x14ac:dyDescent="0.3">
      <c r="F35" s="21">
        <v>20</v>
      </c>
      <c r="G35" s="278" t="s">
        <v>134</v>
      </c>
      <c r="H35" s="20">
        <v>2006</v>
      </c>
      <c r="I35" s="53"/>
      <c r="J35" s="20" t="s">
        <v>277</v>
      </c>
      <c r="K35" s="135"/>
      <c r="L35" s="9"/>
      <c r="M35" s="24"/>
    </row>
    <row r="36" spans="6:13" x14ac:dyDescent="0.3">
      <c r="F36" s="112">
        <v>21</v>
      </c>
      <c r="G36" s="47" t="s">
        <v>188</v>
      </c>
      <c r="H36" s="110">
        <v>2004</v>
      </c>
      <c r="I36" s="49"/>
      <c r="J36" s="110" t="s">
        <v>277</v>
      </c>
      <c r="K36" s="135"/>
      <c r="L36" s="9"/>
      <c r="M36" s="24"/>
    </row>
    <row r="37" spans="6:13" x14ac:dyDescent="0.3">
      <c r="F37" s="112">
        <v>22</v>
      </c>
      <c r="G37" s="47" t="s">
        <v>150</v>
      </c>
      <c r="H37" s="110">
        <v>2002</v>
      </c>
      <c r="I37" s="49"/>
      <c r="J37" s="110" t="s">
        <v>277</v>
      </c>
      <c r="K37" s="135"/>
      <c r="L37" s="9"/>
      <c r="M37" s="24"/>
    </row>
    <row r="38" spans="6:13" x14ac:dyDescent="0.3">
      <c r="F38" s="274">
        <v>23</v>
      </c>
      <c r="G38" s="313" t="s">
        <v>173</v>
      </c>
      <c r="H38" s="314">
        <v>2002</v>
      </c>
      <c r="I38" s="277">
        <v>106123.25798427663</v>
      </c>
      <c r="J38" s="314" t="s">
        <v>195</v>
      </c>
      <c r="K38" s="135"/>
      <c r="L38" s="9"/>
      <c r="M38" s="24"/>
    </row>
    <row r="39" spans="6:13" x14ac:dyDescent="0.3">
      <c r="F39" s="112">
        <v>24</v>
      </c>
      <c r="G39" s="47" t="s">
        <v>176</v>
      </c>
      <c r="H39" s="110">
        <v>2001</v>
      </c>
      <c r="I39" s="49"/>
      <c r="J39" s="110" t="s">
        <v>277</v>
      </c>
      <c r="K39" s="135"/>
      <c r="L39" s="9"/>
      <c r="M39" s="24"/>
    </row>
    <row r="40" spans="6:13" x14ac:dyDescent="0.3">
      <c r="F40" s="112">
        <v>25</v>
      </c>
      <c r="G40" s="47" t="s">
        <v>179</v>
      </c>
      <c r="H40" s="110">
        <v>2001</v>
      </c>
      <c r="I40" s="49"/>
      <c r="J40" s="110" t="s">
        <v>277</v>
      </c>
      <c r="K40" s="135"/>
      <c r="L40" s="9"/>
      <c r="M40" s="24"/>
    </row>
    <row r="41" spans="6:13" x14ac:dyDescent="0.3">
      <c r="F41" s="112">
        <v>26</v>
      </c>
      <c r="G41" s="76" t="s">
        <v>113</v>
      </c>
      <c r="H41" s="108">
        <v>2000</v>
      </c>
      <c r="I41" s="49"/>
      <c r="J41" s="110" t="s">
        <v>277</v>
      </c>
      <c r="K41" s="135"/>
      <c r="L41" s="9"/>
      <c r="M41" s="24"/>
    </row>
    <row r="42" spans="6:13" x14ac:dyDescent="0.3">
      <c r="F42" s="112">
        <v>27</v>
      </c>
      <c r="G42" s="76" t="s">
        <v>114</v>
      </c>
      <c r="H42" s="108">
        <v>2000</v>
      </c>
      <c r="I42" s="49"/>
      <c r="J42" s="110" t="s">
        <v>277</v>
      </c>
      <c r="K42" s="135"/>
      <c r="L42" s="9"/>
      <c r="M42" s="24"/>
    </row>
    <row r="43" spans="6:13" x14ac:dyDescent="0.3">
      <c r="F43" s="112">
        <v>28</v>
      </c>
      <c r="G43" s="47" t="s">
        <v>158</v>
      </c>
      <c r="H43" s="110">
        <v>1999</v>
      </c>
      <c r="I43" s="49"/>
      <c r="J43" s="110" t="s">
        <v>277</v>
      </c>
      <c r="K43" s="135"/>
      <c r="L43" s="9"/>
      <c r="M43" s="24"/>
    </row>
    <row r="44" spans="6:13" x14ac:dyDescent="0.3">
      <c r="F44" s="112">
        <v>29</v>
      </c>
      <c r="G44" s="47" t="s">
        <v>159</v>
      </c>
      <c r="H44" s="110">
        <v>1999</v>
      </c>
      <c r="I44" s="49"/>
      <c r="J44" s="110" t="s">
        <v>277</v>
      </c>
      <c r="K44" s="135"/>
      <c r="L44" s="9"/>
      <c r="M44" s="24"/>
    </row>
    <row r="45" spans="6:13" x14ac:dyDescent="0.3">
      <c r="F45" s="112">
        <v>30</v>
      </c>
      <c r="G45" s="47" t="s">
        <v>151</v>
      </c>
      <c r="H45" s="110">
        <v>1999</v>
      </c>
      <c r="I45" s="49"/>
      <c r="J45" s="110" t="s">
        <v>277</v>
      </c>
      <c r="K45" s="135"/>
      <c r="L45" s="9"/>
      <c r="M45" s="24"/>
    </row>
    <row r="46" spans="6:13" x14ac:dyDescent="0.3">
      <c r="F46" s="274">
        <v>31</v>
      </c>
      <c r="G46" s="275" t="s">
        <v>82</v>
      </c>
      <c r="H46" s="276">
        <v>1999</v>
      </c>
      <c r="I46" s="277">
        <v>304167.35200000001</v>
      </c>
      <c r="J46" s="276" t="s">
        <v>195</v>
      </c>
      <c r="K46" s="135"/>
      <c r="L46" s="9"/>
      <c r="M46" s="24"/>
    </row>
    <row r="47" spans="6:13" x14ac:dyDescent="0.3">
      <c r="F47" s="274">
        <v>32</v>
      </c>
      <c r="G47" s="275" t="s">
        <v>83</v>
      </c>
      <c r="H47" s="276">
        <v>1999</v>
      </c>
      <c r="I47" s="277">
        <v>274064.72799999994</v>
      </c>
      <c r="J47" s="276" t="s">
        <v>195</v>
      </c>
      <c r="K47" s="135"/>
      <c r="L47" s="9"/>
      <c r="M47" s="24"/>
    </row>
    <row r="48" spans="6:13" x14ac:dyDescent="0.3">
      <c r="F48" s="112">
        <v>72</v>
      </c>
      <c r="G48" s="47" t="s">
        <v>132</v>
      </c>
      <c r="H48" s="110">
        <v>1998</v>
      </c>
      <c r="I48" s="49"/>
      <c r="J48" s="110" t="s">
        <v>277</v>
      </c>
      <c r="K48" s="135"/>
      <c r="L48" s="9"/>
      <c r="M48" s="24"/>
    </row>
    <row r="49" spans="6:13" x14ac:dyDescent="0.3">
      <c r="F49" s="112">
        <v>33</v>
      </c>
      <c r="G49" s="47" t="s">
        <v>127</v>
      </c>
      <c r="H49" s="110">
        <v>1998</v>
      </c>
      <c r="I49" s="49"/>
      <c r="J49" s="110" t="s">
        <v>277</v>
      </c>
      <c r="K49" s="135"/>
      <c r="L49" s="9"/>
      <c r="M49" s="24"/>
    </row>
    <row r="50" spans="6:13" x14ac:dyDescent="0.3">
      <c r="F50" s="112">
        <v>34</v>
      </c>
      <c r="G50" s="47" t="s">
        <v>149</v>
      </c>
      <c r="H50" s="110">
        <v>1998</v>
      </c>
      <c r="I50" s="49"/>
      <c r="J50" s="110" t="s">
        <v>277</v>
      </c>
      <c r="K50" s="135"/>
      <c r="L50" s="9"/>
      <c r="M50" s="24"/>
    </row>
    <row r="51" spans="6:13" x14ac:dyDescent="0.3">
      <c r="F51" s="112">
        <v>35</v>
      </c>
      <c r="G51" s="47" t="s">
        <v>124</v>
      </c>
      <c r="H51" s="110">
        <v>1997</v>
      </c>
      <c r="I51" s="49"/>
      <c r="J51" s="110" t="s">
        <v>277</v>
      </c>
      <c r="K51" s="135"/>
      <c r="L51" s="9"/>
      <c r="M51" s="24"/>
    </row>
    <row r="52" spans="6:13" x14ac:dyDescent="0.3">
      <c r="F52" s="112">
        <v>36</v>
      </c>
      <c r="G52" s="47" t="s">
        <v>123</v>
      </c>
      <c r="H52" s="110">
        <v>1997</v>
      </c>
      <c r="I52" s="49"/>
      <c r="J52" s="110" t="s">
        <v>277</v>
      </c>
      <c r="K52" s="135"/>
      <c r="L52" s="9"/>
      <c r="M52" s="24"/>
    </row>
    <row r="53" spans="6:13" x14ac:dyDescent="0.3">
      <c r="F53" s="112">
        <v>37</v>
      </c>
      <c r="G53" s="76" t="s">
        <v>105</v>
      </c>
      <c r="H53" s="108">
        <v>1996</v>
      </c>
      <c r="I53" s="49"/>
      <c r="J53" s="110" t="s">
        <v>277</v>
      </c>
      <c r="K53" s="135"/>
      <c r="L53" s="9"/>
      <c r="M53" s="24"/>
    </row>
    <row r="54" spans="6:13" x14ac:dyDescent="0.3">
      <c r="F54" s="112">
        <v>38</v>
      </c>
      <c r="G54" s="76" t="s">
        <v>106</v>
      </c>
      <c r="H54" s="109">
        <v>1996</v>
      </c>
      <c r="I54" s="49"/>
      <c r="J54" s="110" t="s">
        <v>277</v>
      </c>
      <c r="K54" s="135"/>
      <c r="L54" s="9"/>
      <c r="M54" s="24"/>
    </row>
    <row r="55" spans="6:13" x14ac:dyDescent="0.3">
      <c r="F55" s="112">
        <v>39</v>
      </c>
      <c r="G55" s="76" t="s">
        <v>111</v>
      </c>
      <c r="H55" s="108">
        <v>1995</v>
      </c>
      <c r="I55" s="49"/>
      <c r="J55" s="110" t="s">
        <v>277</v>
      </c>
      <c r="K55" s="135"/>
      <c r="L55" s="9"/>
      <c r="M55" s="24"/>
    </row>
    <row r="56" spans="6:13" x14ac:dyDescent="0.3">
      <c r="F56" s="112">
        <v>40</v>
      </c>
      <c r="G56" s="76" t="s">
        <v>112</v>
      </c>
      <c r="H56" s="108">
        <v>1995</v>
      </c>
      <c r="I56" s="49"/>
      <c r="J56" s="110" t="s">
        <v>277</v>
      </c>
      <c r="K56" s="135"/>
      <c r="L56" s="9"/>
      <c r="M56" s="24"/>
    </row>
    <row r="57" spans="6:13" x14ac:dyDescent="0.3">
      <c r="F57" s="112">
        <v>41</v>
      </c>
      <c r="G57" s="76" t="s">
        <v>92</v>
      </c>
      <c r="H57" s="108">
        <v>1994</v>
      </c>
      <c r="I57" s="49"/>
      <c r="J57" s="110" t="s">
        <v>277</v>
      </c>
      <c r="K57" s="135"/>
      <c r="L57" s="9"/>
      <c r="M57" s="24"/>
    </row>
    <row r="58" spans="6:13" x14ac:dyDescent="0.3">
      <c r="F58" s="112">
        <v>42</v>
      </c>
      <c r="G58" s="76" t="s">
        <v>101</v>
      </c>
      <c r="H58" s="108">
        <v>1992</v>
      </c>
      <c r="I58" s="49"/>
      <c r="J58" s="110" t="s">
        <v>277</v>
      </c>
      <c r="K58" s="135"/>
      <c r="L58" s="9"/>
      <c r="M58" s="24"/>
    </row>
    <row r="59" spans="6:13" x14ac:dyDescent="0.3">
      <c r="F59" s="112">
        <v>43</v>
      </c>
      <c r="G59" s="76" t="s">
        <v>104</v>
      </c>
      <c r="H59" s="109">
        <v>1992</v>
      </c>
      <c r="I59" s="53"/>
      <c r="J59" s="110" t="s">
        <v>277</v>
      </c>
      <c r="K59" s="135"/>
      <c r="L59" s="9"/>
      <c r="M59" s="24"/>
    </row>
    <row r="60" spans="6:13" x14ac:dyDescent="0.3">
      <c r="F60" s="112">
        <v>44</v>
      </c>
      <c r="G60" s="76" t="s">
        <v>102</v>
      </c>
      <c r="H60" s="108">
        <v>1991</v>
      </c>
      <c r="I60" s="49"/>
      <c r="J60" s="110" t="s">
        <v>277</v>
      </c>
      <c r="K60" s="135"/>
      <c r="L60" s="9"/>
      <c r="M60" s="24"/>
    </row>
    <row r="61" spans="6:13" x14ac:dyDescent="0.3">
      <c r="F61" s="112">
        <v>45</v>
      </c>
      <c r="G61" s="76" t="s">
        <v>103</v>
      </c>
      <c r="H61" s="108">
        <v>1991</v>
      </c>
      <c r="I61" s="49"/>
      <c r="J61" s="110" t="s">
        <v>277</v>
      </c>
      <c r="K61" s="135"/>
      <c r="L61" s="9"/>
      <c r="M61" s="24"/>
    </row>
    <row r="62" spans="6:13" x14ac:dyDescent="0.3">
      <c r="F62" s="112">
        <v>46</v>
      </c>
      <c r="G62" s="76" t="s">
        <v>81</v>
      </c>
      <c r="H62" s="108">
        <v>1988</v>
      </c>
      <c r="I62" s="49"/>
      <c r="J62" s="110" t="s">
        <v>277</v>
      </c>
      <c r="K62" s="135"/>
      <c r="L62" s="9"/>
      <c r="M62" s="24"/>
    </row>
    <row r="63" spans="6:13" x14ac:dyDescent="0.3">
      <c r="F63" s="112">
        <v>47</v>
      </c>
      <c r="G63" s="47" t="s">
        <v>187</v>
      </c>
      <c r="H63" s="110">
        <v>1983</v>
      </c>
      <c r="I63" s="49"/>
      <c r="J63" s="110" t="s">
        <v>277</v>
      </c>
      <c r="K63" s="135"/>
      <c r="L63" s="9"/>
      <c r="M63" s="24"/>
    </row>
    <row r="64" spans="6:13" x14ac:dyDescent="0.3">
      <c r="F64" s="112">
        <v>48</v>
      </c>
      <c r="G64" s="76" t="s">
        <v>100</v>
      </c>
      <c r="H64" s="108">
        <v>1982</v>
      </c>
      <c r="I64" s="49"/>
      <c r="J64" s="110" t="s">
        <v>277</v>
      </c>
      <c r="K64" s="135"/>
      <c r="L64" s="9"/>
      <c r="M64" s="24"/>
    </row>
    <row r="65" spans="6:13" x14ac:dyDescent="0.3">
      <c r="F65" s="112">
        <v>49</v>
      </c>
      <c r="G65" s="47" t="s">
        <v>186</v>
      </c>
      <c r="H65" s="110">
        <v>1981</v>
      </c>
      <c r="I65" s="49"/>
      <c r="J65" s="110" t="s">
        <v>277</v>
      </c>
      <c r="K65" s="135"/>
      <c r="L65" s="9"/>
      <c r="M65" s="24"/>
    </row>
    <row r="66" spans="6:13" x14ac:dyDescent="0.3">
      <c r="F66" s="112">
        <v>50</v>
      </c>
      <c r="G66" s="76" t="s">
        <v>80</v>
      </c>
      <c r="H66" s="108">
        <v>1980</v>
      </c>
      <c r="I66" s="49"/>
      <c r="J66" s="110" t="s">
        <v>277</v>
      </c>
      <c r="K66" s="135"/>
      <c r="L66" s="9"/>
      <c r="M66" s="24"/>
    </row>
    <row r="67" spans="6:13" x14ac:dyDescent="0.3">
      <c r="F67" s="112">
        <v>51</v>
      </c>
      <c r="G67" s="47" t="s">
        <v>182</v>
      </c>
      <c r="H67" s="110">
        <v>1980</v>
      </c>
      <c r="I67" s="49"/>
      <c r="J67" s="110" t="s">
        <v>277</v>
      </c>
      <c r="K67" s="135"/>
      <c r="L67" s="9"/>
      <c r="M67" s="24"/>
    </row>
    <row r="68" spans="6:13" x14ac:dyDescent="0.3">
      <c r="F68" s="112">
        <v>52</v>
      </c>
      <c r="G68" s="47" t="s">
        <v>183</v>
      </c>
      <c r="H68" s="110">
        <v>1980</v>
      </c>
      <c r="I68" s="49"/>
      <c r="J68" s="110" t="s">
        <v>277</v>
      </c>
      <c r="K68" s="135"/>
      <c r="L68" s="9"/>
      <c r="M68" s="24"/>
    </row>
    <row r="69" spans="6:13" x14ac:dyDescent="0.3">
      <c r="F69" s="112">
        <v>53</v>
      </c>
      <c r="G69" s="76" t="s">
        <v>79</v>
      </c>
      <c r="H69" s="108">
        <v>1977</v>
      </c>
      <c r="I69" s="49"/>
      <c r="J69" s="110" t="s">
        <v>277</v>
      </c>
      <c r="K69" s="135"/>
      <c r="L69" s="9"/>
      <c r="M69" s="24"/>
    </row>
    <row r="70" spans="6:13" x14ac:dyDescent="0.3">
      <c r="F70" s="112">
        <v>54</v>
      </c>
      <c r="G70" s="76" t="s">
        <v>78</v>
      </c>
      <c r="H70" s="108">
        <v>1975</v>
      </c>
      <c r="I70" s="49"/>
      <c r="J70" s="110" t="s">
        <v>277</v>
      </c>
      <c r="K70" s="135"/>
      <c r="L70" s="9"/>
      <c r="M70" s="24"/>
    </row>
    <row r="71" spans="6:13" x14ac:dyDescent="0.3">
      <c r="F71" s="112">
        <v>55</v>
      </c>
      <c r="G71" s="76" t="s">
        <v>87</v>
      </c>
      <c r="H71" s="108">
        <v>1974</v>
      </c>
      <c r="I71" s="49"/>
      <c r="J71" s="110" t="s">
        <v>277</v>
      </c>
      <c r="K71" s="135"/>
      <c r="L71" s="9"/>
      <c r="M71" s="24"/>
    </row>
    <row r="72" spans="6:13" x14ac:dyDescent="0.3">
      <c r="F72" s="112">
        <v>56</v>
      </c>
      <c r="G72" s="76" t="s">
        <v>88</v>
      </c>
      <c r="H72" s="108">
        <v>1974</v>
      </c>
      <c r="I72" s="49"/>
      <c r="J72" s="110" t="s">
        <v>277</v>
      </c>
      <c r="K72" s="135"/>
      <c r="L72" s="9"/>
      <c r="M72" s="24"/>
    </row>
    <row r="73" spans="6:13" x14ac:dyDescent="0.3">
      <c r="F73" s="112">
        <v>57</v>
      </c>
      <c r="G73" s="76" t="s">
        <v>89</v>
      </c>
      <c r="H73" s="108">
        <v>1974</v>
      </c>
      <c r="I73" s="49"/>
      <c r="J73" s="110" t="s">
        <v>277</v>
      </c>
      <c r="K73" s="135"/>
      <c r="L73" s="9"/>
      <c r="M73" s="24"/>
    </row>
    <row r="74" spans="6:13" x14ac:dyDescent="0.3">
      <c r="F74" s="112">
        <v>58</v>
      </c>
      <c r="G74" s="47" t="s">
        <v>156</v>
      </c>
      <c r="H74" s="110">
        <v>1974</v>
      </c>
      <c r="I74" s="49"/>
      <c r="J74" s="110" t="s">
        <v>277</v>
      </c>
      <c r="K74" s="135"/>
      <c r="L74" s="9"/>
      <c r="M74" s="24"/>
    </row>
    <row r="75" spans="6:13" x14ac:dyDescent="0.3">
      <c r="F75" s="112">
        <v>59</v>
      </c>
      <c r="G75" s="47" t="s">
        <v>157</v>
      </c>
      <c r="H75" s="110">
        <v>1974</v>
      </c>
      <c r="I75" s="49"/>
      <c r="J75" s="110" t="s">
        <v>277</v>
      </c>
      <c r="K75" s="135"/>
      <c r="L75" s="9"/>
      <c r="M75" s="24"/>
    </row>
    <row r="76" spans="6:13" x14ac:dyDescent="0.3">
      <c r="F76" s="112">
        <v>60</v>
      </c>
      <c r="G76" s="47" t="s">
        <v>184</v>
      </c>
      <c r="H76" s="110">
        <v>1973</v>
      </c>
      <c r="I76" s="49"/>
      <c r="J76" s="110" t="s">
        <v>277</v>
      </c>
      <c r="K76" s="135"/>
      <c r="L76" s="9"/>
      <c r="M76" s="24"/>
    </row>
    <row r="77" spans="6:13" x14ac:dyDescent="0.3">
      <c r="F77" s="112">
        <v>61</v>
      </c>
      <c r="G77" s="47" t="s">
        <v>185</v>
      </c>
      <c r="H77" s="110">
        <v>1973</v>
      </c>
      <c r="I77" s="49"/>
      <c r="J77" s="110" t="s">
        <v>277</v>
      </c>
      <c r="K77" s="135"/>
      <c r="L77" s="9"/>
      <c r="M77" s="24"/>
    </row>
    <row r="78" spans="6:13" x14ac:dyDescent="0.3">
      <c r="F78" s="112">
        <v>62</v>
      </c>
      <c r="G78" s="76" t="s">
        <v>91</v>
      </c>
      <c r="H78" s="108">
        <v>1971</v>
      </c>
      <c r="I78" s="49"/>
      <c r="J78" s="110" t="s">
        <v>277</v>
      </c>
      <c r="K78" s="135"/>
      <c r="L78" s="9"/>
      <c r="M78" s="24"/>
    </row>
    <row r="79" spans="6:13" x14ac:dyDescent="0.3">
      <c r="F79" s="112">
        <v>63</v>
      </c>
      <c r="G79" s="76" t="s">
        <v>90</v>
      </c>
      <c r="H79" s="108">
        <v>1970</v>
      </c>
      <c r="I79" s="49"/>
      <c r="J79" s="110" t="s">
        <v>277</v>
      </c>
      <c r="K79" s="135"/>
      <c r="L79" s="9"/>
      <c r="M79" s="24"/>
    </row>
    <row r="80" spans="6:13" x14ac:dyDescent="0.3">
      <c r="F80" s="112">
        <v>64</v>
      </c>
      <c r="G80" s="47" t="s">
        <v>138</v>
      </c>
      <c r="H80" s="110">
        <v>1969</v>
      </c>
      <c r="I80" s="49"/>
      <c r="J80" s="110" t="s">
        <v>277</v>
      </c>
      <c r="K80" s="135"/>
      <c r="L80" s="9"/>
      <c r="M80" s="24"/>
    </row>
    <row r="81" spans="6:13" x14ac:dyDescent="0.3">
      <c r="F81" s="112">
        <v>65</v>
      </c>
      <c r="G81" s="47" t="s">
        <v>139</v>
      </c>
      <c r="H81" s="110">
        <v>1969</v>
      </c>
      <c r="I81" s="49"/>
      <c r="J81" s="110" t="s">
        <v>277</v>
      </c>
      <c r="K81" s="135"/>
      <c r="L81" s="9"/>
      <c r="M81" s="24"/>
    </row>
    <row r="82" spans="6:13" x14ac:dyDescent="0.3">
      <c r="F82" s="112">
        <v>66</v>
      </c>
      <c r="G82" s="47" t="s">
        <v>180</v>
      </c>
      <c r="H82" s="110">
        <v>1967</v>
      </c>
      <c r="I82" s="49"/>
      <c r="J82" s="110" t="s">
        <v>277</v>
      </c>
      <c r="K82" s="135"/>
      <c r="L82" s="9"/>
      <c r="M82" s="24"/>
    </row>
    <row r="83" spans="6:13" x14ac:dyDescent="0.3">
      <c r="F83" s="112">
        <v>67</v>
      </c>
      <c r="G83" s="47" t="s">
        <v>181</v>
      </c>
      <c r="H83" s="110">
        <v>1967</v>
      </c>
      <c r="I83" s="49"/>
      <c r="J83" s="110" t="s">
        <v>277</v>
      </c>
      <c r="K83" s="135"/>
      <c r="L83" s="9"/>
      <c r="M83" s="24"/>
    </row>
    <row r="84" spans="6:13" x14ac:dyDescent="0.3">
      <c r="F84" s="112">
        <v>68</v>
      </c>
      <c r="G84" s="47" t="s">
        <v>137</v>
      </c>
      <c r="H84" s="110">
        <v>1967</v>
      </c>
      <c r="I84" s="49"/>
      <c r="J84" s="110" t="s">
        <v>277</v>
      </c>
      <c r="K84" s="135"/>
      <c r="L84" s="9"/>
      <c r="M84" s="24"/>
    </row>
    <row r="85" spans="6:13" x14ac:dyDescent="0.3">
      <c r="F85" s="112">
        <v>69</v>
      </c>
      <c r="G85" s="47" t="s">
        <v>136</v>
      </c>
      <c r="H85" s="110">
        <v>1966</v>
      </c>
      <c r="I85" s="49"/>
      <c r="J85" s="110" t="s">
        <v>277</v>
      </c>
      <c r="K85" s="135"/>
      <c r="L85" s="9"/>
      <c r="M85" s="24"/>
    </row>
    <row r="86" spans="6:13" x14ac:dyDescent="0.3">
      <c r="F86" s="112">
        <v>70</v>
      </c>
      <c r="G86" s="47" t="s">
        <v>154</v>
      </c>
      <c r="H86" s="110">
        <v>1962</v>
      </c>
      <c r="I86" s="49"/>
      <c r="J86" s="110" t="s">
        <v>277</v>
      </c>
      <c r="K86" s="135"/>
      <c r="L86" s="9"/>
      <c r="M86" s="24"/>
    </row>
    <row r="87" spans="6:13" x14ac:dyDescent="0.3">
      <c r="F87" s="112">
        <v>71</v>
      </c>
      <c r="G87" s="47" t="s">
        <v>131</v>
      </c>
      <c r="H87" s="110">
        <v>1958</v>
      </c>
      <c r="I87" s="49"/>
      <c r="J87" s="110" t="s">
        <v>277</v>
      </c>
      <c r="K87" s="135"/>
      <c r="L87" s="9"/>
      <c r="M87" s="24"/>
    </row>
    <row r="88" spans="6:13" x14ac:dyDescent="0.3">
      <c r="F88" s="112">
        <v>73</v>
      </c>
      <c r="G88" s="47" t="s">
        <v>143</v>
      </c>
      <c r="H88" s="110">
        <v>1958</v>
      </c>
      <c r="I88" s="49"/>
      <c r="J88" s="110" t="s">
        <v>277</v>
      </c>
      <c r="K88" s="135"/>
      <c r="L88" s="9"/>
      <c r="M88" s="24"/>
    </row>
    <row r="89" spans="6:13" x14ac:dyDescent="0.3">
      <c r="F89" s="112">
        <v>74</v>
      </c>
      <c r="G89" s="47" t="s">
        <v>148</v>
      </c>
      <c r="H89" s="110">
        <v>1958</v>
      </c>
      <c r="I89" s="49"/>
      <c r="J89" s="110" t="s">
        <v>277</v>
      </c>
      <c r="K89" s="135"/>
      <c r="L89" s="9"/>
      <c r="M89" s="24"/>
    </row>
    <row r="90" spans="6:13" x14ac:dyDescent="0.3">
      <c r="F90" s="112">
        <v>75</v>
      </c>
      <c r="G90" s="47" t="s">
        <v>177</v>
      </c>
      <c r="H90" s="110">
        <v>1958</v>
      </c>
      <c r="I90" s="49"/>
      <c r="J90" s="110" t="s">
        <v>277</v>
      </c>
      <c r="K90" s="135"/>
      <c r="L90" s="9"/>
      <c r="M90" s="24"/>
    </row>
    <row r="91" spans="6:13" x14ac:dyDescent="0.3">
      <c r="F91" s="112">
        <v>76</v>
      </c>
      <c r="G91" s="47" t="s">
        <v>135</v>
      </c>
      <c r="H91" s="110">
        <v>1956</v>
      </c>
      <c r="I91" s="49"/>
      <c r="J91" s="110" t="s">
        <v>277</v>
      </c>
      <c r="K91" s="135"/>
      <c r="L91" s="9"/>
      <c r="M91" s="24"/>
    </row>
    <row r="92" spans="6:13" x14ac:dyDescent="0.3">
      <c r="F92" s="112">
        <v>77</v>
      </c>
      <c r="G92" s="47" t="s">
        <v>130</v>
      </c>
      <c r="H92" s="110">
        <v>1945</v>
      </c>
      <c r="I92" s="49"/>
      <c r="J92" s="110" t="s">
        <v>277</v>
      </c>
      <c r="K92" s="135"/>
      <c r="L92" s="9"/>
      <c r="M92" s="24"/>
    </row>
    <row r="93" spans="6:13" x14ac:dyDescent="0.3">
      <c r="F93" s="112">
        <v>78</v>
      </c>
      <c r="G93" s="47" t="s">
        <v>146</v>
      </c>
      <c r="H93" s="110">
        <v>1944</v>
      </c>
      <c r="I93" s="49"/>
      <c r="J93" s="110" t="s">
        <v>277</v>
      </c>
      <c r="K93" s="135"/>
      <c r="L93" s="9"/>
      <c r="M93" s="24"/>
    </row>
    <row r="94" spans="6:13" x14ac:dyDescent="0.3">
      <c r="F94" s="112">
        <v>79</v>
      </c>
      <c r="G94" s="47" t="s">
        <v>147</v>
      </c>
      <c r="H94" s="110">
        <v>1944</v>
      </c>
      <c r="I94" s="49"/>
      <c r="J94" s="110" t="s">
        <v>277</v>
      </c>
      <c r="K94" s="135"/>
      <c r="L94" s="9"/>
      <c r="M94" s="24"/>
    </row>
    <row r="95" spans="6:13" x14ac:dyDescent="0.3">
      <c r="F95" s="112">
        <v>80</v>
      </c>
      <c r="G95" s="47" t="s">
        <v>129</v>
      </c>
      <c r="H95" s="110">
        <v>1943</v>
      </c>
      <c r="I95" s="49"/>
      <c r="J95" s="110" t="s">
        <v>277</v>
      </c>
      <c r="K95" s="135"/>
      <c r="L95" s="9"/>
      <c r="M95" s="24"/>
    </row>
    <row r="96" spans="6:13" x14ac:dyDescent="0.3">
      <c r="F96" s="112">
        <v>81</v>
      </c>
      <c r="G96" s="47" t="s">
        <v>128</v>
      </c>
      <c r="H96" s="110">
        <v>1942</v>
      </c>
      <c r="I96" s="49"/>
      <c r="J96" s="110" t="s">
        <v>277</v>
      </c>
      <c r="K96" s="135"/>
      <c r="L96" s="9"/>
      <c r="M96" s="24"/>
    </row>
    <row r="97" spans="6:13" x14ac:dyDescent="0.3">
      <c r="F97" s="112">
        <v>82</v>
      </c>
      <c r="G97" s="47" t="s">
        <v>175</v>
      </c>
      <c r="H97" s="110">
        <v>1942</v>
      </c>
      <c r="I97" s="49"/>
      <c r="J97" s="110" t="s">
        <v>277</v>
      </c>
      <c r="K97" s="135"/>
      <c r="L97" s="9"/>
      <c r="M97" s="24"/>
    </row>
    <row r="98" spans="6:13" x14ac:dyDescent="0.3">
      <c r="F98" s="112">
        <v>91</v>
      </c>
      <c r="G98" s="47" t="s">
        <v>178</v>
      </c>
      <c r="H98" s="110">
        <v>1942</v>
      </c>
      <c r="I98" s="49"/>
      <c r="J98" s="110" t="s">
        <v>277</v>
      </c>
      <c r="K98" s="135"/>
      <c r="L98" s="9"/>
      <c r="M98" s="24"/>
    </row>
    <row r="99" spans="6:13" x14ac:dyDescent="0.3">
      <c r="F99" s="112">
        <v>83</v>
      </c>
      <c r="G99" s="47" t="s">
        <v>126</v>
      </c>
      <c r="H99" s="110">
        <v>1941</v>
      </c>
      <c r="I99" s="49"/>
      <c r="J99" s="110" t="s">
        <v>277</v>
      </c>
      <c r="K99" s="135"/>
      <c r="L99" s="9"/>
      <c r="M99" s="24"/>
    </row>
    <row r="100" spans="6:13" x14ac:dyDescent="0.3">
      <c r="F100" s="112">
        <v>84</v>
      </c>
      <c r="G100" s="47" t="s">
        <v>145</v>
      </c>
      <c r="H100" s="110">
        <v>1939</v>
      </c>
      <c r="I100" s="49"/>
      <c r="J100" s="110" t="s">
        <v>277</v>
      </c>
      <c r="K100" s="135"/>
      <c r="L100" s="9"/>
      <c r="M100" s="24"/>
    </row>
    <row r="101" spans="6:13" x14ac:dyDescent="0.3">
      <c r="F101" s="112">
        <v>85</v>
      </c>
      <c r="G101" s="47" t="s">
        <v>125</v>
      </c>
      <c r="H101" s="110">
        <v>1938</v>
      </c>
      <c r="I101" s="49"/>
      <c r="J101" s="110" t="s">
        <v>277</v>
      </c>
      <c r="K101" s="135"/>
      <c r="L101" s="9"/>
      <c r="M101" s="24"/>
    </row>
    <row r="102" spans="6:13" x14ac:dyDescent="0.3">
      <c r="F102" s="112">
        <v>86</v>
      </c>
      <c r="G102" s="47" t="s">
        <v>142</v>
      </c>
      <c r="H102" s="110">
        <v>1936</v>
      </c>
      <c r="I102" s="49"/>
      <c r="J102" s="110" t="s">
        <v>277</v>
      </c>
      <c r="K102" s="135"/>
      <c r="L102" s="9"/>
      <c r="M102" s="24"/>
    </row>
    <row r="103" spans="6:13" x14ac:dyDescent="0.3">
      <c r="F103" s="112">
        <v>87</v>
      </c>
      <c r="G103" s="47" t="s">
        <v>174</v>
      </c>
      <c r="H103" s="110">
        <v>1936</v>
      </c>
      <c r="I103" s="49"/>
      <c r="J103" s="110" t="s">
        <v>277</v>
      </c>
      <c r="K103" s="135"/>
      <c r="L103" s="9"/>
      <c r="M103" s="24"/>
    </row>
    <row r="104" spans="6:13" x14ac:dyDescent="0.3">
      <c r="F104" s="112">
        <v>88</v>
      </c>
      <c r="G104" s="47" t="s">
        <v>140</v>
      </c>
      <c r="H104" s="110">
        <v>1931</v>
      </c>
      <c r="I104" s="49"/>
      <c r="J104" s="110" t="s">
        <v>277</v>
      </c>
      <c r="K104" s="135"/>
      <c r="L104" s="9"/>
      <c r="M104" s="24"/>
    </row>
    <row r="105" spans="6:13" x14ac:dyDescent="0.3">
      <c r="F105" s="112">
        <v>89</v>
      </c>
      <c r="G105" s="47" t="s">
        <v>141</v>
      </c>
      <c r="H105" s="110">
        <v>1931</v>
      </c>
      <c r="I105" s="49"/>
      <c r="J105" s="110" t="s">
        <v>277</v>
      </c>
      <c r="K105" s="135"/>
      <c r="L105" s="9"/>
      <c r="M105" s="24"/>
    </row>
    <row r="106" spans="6:13" x14ac:dyDescent="0.3">
      <c r="F106" s="9"/>
    </row>
    <row r="107" spans="6:13" x14ac:dyDescent="0.3">
      <c r="F107" s="9"/>
      <c r="G107" s="253" t="s">
        <v>36</v>
      </c>
      <c r="H107" s="254"/>
      <c r="I107" s="258"/>
      <c r="J107" s="9"/>
      <c r="K107" s="9"/>
    </row>
    <row r="108" spans="6:13" x14ac:dyDescent="0.3">
      <c r="F108" s="9"/>
      <c r="G108" s="253" t="s">
        <v>37</v>
      </c>
      <c r="H108" s="254"/>
      <c r="I108" s="258"/>
      <c r="J108" s="9"/>
      <c r="K108" s="9"/>
    </row>
    <row r="109" spans="6:13" x14ac:dyDescent="0.3">
      <c r="F109" s="9"/>
      <c r="G109" s="255" t="s">
        <v>3</v>
      </c>
      <c r="H109" s="254"/>
      <c r="I109" s="259"/>
      <c r="J109" s="9"/>
      <c r="K109" s="9"/>
    </row>
    <row r="110" spans="6:13" x14ac:dyDescent="0.3">
      <c r="F110" s="9"/>
      <c r="G110" s="256" t="s">
        <v>45</v>
      </c>
      <c r="H110" s="262"/>
      <c r="I110" s="261"/>
      <c r="J110" s="9"/>
      <c r="K110" s="9"/>
    </row>
    <row r="111" spans="6:13" x14ac:dyDescent="0.3">
      <c r="F111" s="9"/>
      <c r="G111" s="253" t="s">
        <v>2</v>
      </c>
      <c r="H111" s="254"/>
      <c r="I111" s="258"/>
      <c r="J111" s="9"/>
      <c r="K111" s="9"/>
    </row>
    <row r="112" spans="6:13" x14ac:dyDescent="0.3">
      <c r="F112" s="9"/>
    </row>
    <row r="113" spans="6:12" x14ac:dyDescent="0.3">
      <c r="F113" s="9"/>
    </row>
    <row r="114" spans="6:12" x14ac:dyDescent="0.3">
      <c r="F114" s="9"/>
    </row>
    <row r="115" spans="6:12" x14ac:dyDescent="0.3">
      <c r="F115" s="9"/>
    </row>
    <row r="116" spans="6:12" x14ac:dyDescent="0.3">
      <c r="F116" s="9"/>
    </row>
    <row r="117" spans="6:12" x14ac:dyDescent="0.3">
      <c r="F117" s="9"/>
    </row>
    <row r="118" spans="6:12" x14ac:dyDescent="0.3">
      <c r="F118" s="9"/>
      <c r="G118" s="113"/>
      <c r="H118" s="28"/>
      <c r="I118" s="9"/>
      <c r="J118" s="30"/>
      <c r="K118" s="9"/>
    </row>
    <row r="119" spans="6:12" x14ac:dyDescent="0.3">
      <c r="F119" s="9"/>
      <c r="G119" s="113"/>
      <c r="H119" s="28"/>
      <c r="I119" s="9"/>
      <c r="J119" s="30"/>
      <c r="K119" s="9"/>
      <c r="L119" s="9"/>
    </row>
    <row r="120" spans="6:12" x14ac:dyDescent="0.3">
      <c r="F120" s="9"/>
      <c r="G120" s="113"/>
      <c r="H120" s="28"/>
      <c r="I120" s="9"/>
      <c r="J120" s="30"/>
      <c r="K120" s="9"/>
    </row>
    <row r="121" spans="6:12" x14ac:dyDescent="0.3">
      <c r="F121" s="9"/>
      <c r="G121" s="113"/>
      <c r="H121" s="28"/>
      <c r="I121" s="9"/>
      <c r="J121" s="30"/>
      <c r="K121" s="9"/>
    </row>
    <row r="122" spans="6:12" x14ac:dyDescent="0.3">
      <c r="F122" s="9"/>
      <c r="G122" s="113"/>
      <c r="H122" s="28"/>
      <c r="I122" s="9"/>
      <c r="J122" s="30"/>
      <c r="K122" s="9"/>
    </row>
    <row r="123" spans="6:12" x14ac:dyDescent="0.3">
      <c r="F123" s="9"/>
    </row>
    <row r="124" spans="6:12" x14ac:dyDescent="0.3">
      <c r="F124" s="9"/>
    </row>
    <row r="125" spans="6:12" x14ac:dyDescent="0.3">
      <c r="F125" s="9"/>
    </row>
    <row r="126" spans="6:12" x14ac:dyDescent="0.3">
      <c r="F126" s="9"/>
    </row>
    <row r="127" spans="6:12" x14ac:dyDescent="0.3">
      <c r="F127" s="9"/>
    </row>
    <row r="128" spans="6:12" x14ac:dyDescent="0.3">
      <c r="F128" s="9"/>
    </row>
    <row r="129" spans="6:6" x14ac:dyDescent="0.3">
      <c r="F129" s="9"/>
    </row>
    <row r="130" spans="6:6" x14ac:dyDescent="0.3">
      <c r="F130" s="9"/>
    </row>
    <row r="131" spans="6:6" x14ac:dyDescent="0.3">
      <c r="F131" s="9"/>
    </row>
  </sheetData>
  <mergeCells count="7">
    <mergeCell ref="G6:J6"/>
    <mergeCell ref="G11:J11"/>
    <mergeCell ref="I30:I31"/>
    <mergeCell ref="G7:J7"/>
    <mergeCell ref="G8:J8"/>
    <mergeCell ref="G9:J9"/>
    <mergeCell ref="G10:J10"/>
  </mergeCells>
  <pageMargins left="0.7" right="0.7" top="0.75" bottom="0.75" header="0.3" footer="0.3"/>
  <pageSetup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3:T134"/>
  <sheetViews>
    <sheetView topLeftCell="A19" zoomScaleNormal="100" workbookViewId="0"/>
  </sheetViews>
  <sheetFormatPr baseColWidth="10" defaultColWidth="9.109375" defaultRowHeight="14.4" x14ac:dyDescent="0.3"/>
  <cols>
    <col min="1" max="2" width="9.109375" style="1"/>
    <col min="3" max="3" width="39.6640625" style="1" bestFit="1" customWidth="1"/>
    <col min="4" max="4" width="14.88671875" style="1" customWidth="1"/>
    <col min="5" max="5" width="17.5546875" style="1" customWidth="1"/>
    <col min="6" max="6" width="9.33203125" style="1" customWidth="1"/>
    <col min="7" max="7" width="11.5546875" style="1" bestFit="1" customWidth="1"/>
    <col min="8" max="8" width="10.6640625" style="1" bestFit="1" customWidth="1"/>
    <col min="9" max="9" width="9.5546875" style="1" bestFit="1" customWidth="1"/>
    <col min="10" max="10" width="14.5546875" style="1" bestFit="1" customWidth="1"/>
    <col min="11" max="11" width="11.88671875" style="1" bestFit="1" customWidth="1"/>
    <col min="12" max="12" width="14" style="1" customWidth="1"/>
    <col min="13" max="13" width="14.33203125" style="1" bestFit="1" customWidth="1"/>
    <col min="14" max="14" width="16" style="1" bestFit="1" customWidth="1"/>
    <col min="15" max="15" width="13.33203125" style="1" bestFit="1" customWidth="1"/>
    <col min="16" max="16" width="14.5546875" style="1" bestFit="1" customWidth="1"/>
    <col min="17" max="17" width="145.109375" style="1" bestFit="1" customWidth="1"/>
    <col min="18" max="16384" width="9.109375" style="1"/>
  </cols>
  <sheetData>
    <row r="3" spans="2:16" ht="23.4" x14ac:dyDescent="0.45">
      <c r="B3" s="323" t="s">
        <v>360</v>
      </c>
      <c r="C3" s="323"/>
    </row>
    <row r="4" spans="2:16" x14ac:dyDescent="0.3">
      <c r="J4" s="114"/>
      <c r="L4" s="26"/>
      <c r="M4" s="114"/>
      <c r="N4" s="26"/>
    </row>
    <row r="5" spans="2:16" x14ac:dyDescent="0.3">
      <c r="C5" s="86" t="s">
        <v>273</v>
      </c>
      <c r="D5" s="174"/>
    </row>
    <row r="6" spans="2:16" x14ac:dyDescent="0.3">
      <c r="C6" s="178" t="s">
        <v>115</v>
      </c>
      <c r="D6" s="175">
        <v>3412.14</v>
      </c>
    </row>
    <row r="7" spans="2:16" x14ac:dyDescent="0.3">
      <c r="C7" s="178" t="s">
        <v>283</v>
      </c>
      <c r="D7" s="175">
        <v>947817</v>
      </c>
    </row>
    <row r="8" spans="2:16" ht="17.25" customHeight="1" x14ac:dyDescent="0.3">
      <c r="C8" s="178" t="s">
        <v>272</v>
      </c>
      <c r="D8" s="176">
        <v>5.6099999999999997E-2</v>
      </c>
    </row>
    <row r="9" spans="2:16" x14ac:dyDescent="0.3">
      <c r="C9" s="179" t="s">
        <v>116</v>
      </c>
      <c r="D9" s="177">
        <v>3.6</v>
      </c>
    </row>
    <row r="10" spans="2:16" ht="15" thickBot="1" x14ac:dyDescent="0.35">
      <c r="C10" s="209"/>
      <c r="D10" s="36"/>
      <c r="L10" s="211"/>
      <c r="M10" s="3"/>
    </row>
    <row r="11" spans="2:16" x14ac:dyDescent="0.3">
      <c r="C11" s="215" t="s">
        <v>287</v>
      </c>
      <c r="D11" s="220"/>
      <c r="E11" s="222"/>
      <c r="M11" s="148"/>
    </row>
    <row r="12" spans="2:16" ht="15.6" x14ac:dyDescent="0.35">
      <c r="C12" s="216" t="s">
        <v>288</v>
      </c>
      <c r="D12" s="214">
        <f>+'Grid-EF'!H11</f>
        <v>0.5526805008028538</v>
      </c>
      <c r="E12" s="224" t="s">
        <v>298</v>
      </c>
      <c r="M12" s="148"/>
    </row>
    <row r="13" spans="2:16" ht="15.6" x14ac:dyDescent="0.35">
      <c r="C13" s="216" t="s">
        <v>289</v>
      </c>
      <c r="D13" s="214">
        <f>+'Grid-EF'!H13</f>
        <v>0.45819421742177691</v>
      </c>
      <c r="E13" s="224" t="s">
        <v>298</v>
      </c>
    </row>
    <row r="14" spans="2:16" ht="15" customHeight="1" x14ac:dyDescent="0.35">
      <c r="C14" s="216" t="s">
        <v>296</v>
      </c>
      <c r="D14" s="214">
        <f>+Leakage_EF_2010!C13</f>
        <v>2.4340874338029818E-2</v>
      </c>
      <c r="E14" s="224" t="s">
        <v>299</v>
      </c>
      <c r="O14" s="26"/>
      <c r="P14" s="26"/>
    </row>
    <row r="15" spans="2:16" ht="16.2" thickBot="1" x14ac:dyDescent="0.4">
      <c r="C15" s="217" t="s">
        <v>297</v>
      </c>
      <c r="D15" s="221">
        <v>2.9</v>
      </c>
      <c r="E15" s="223" t="s">
        <v>299</v>
      </c>
    </row>
    <row r="17" spans="2:17" ht="18" x14ac:dyDescent="0.35">
      <c r="C17" s="225" t="s">
        <v>313</v>
      </c>
    </row>
    <row r="19" spans="2:17" ht="44.4" x14ac:dyDescent="0.3">
      <c r="B19" s="495" t="s">
        <v>54</v>
      </c>
      <c r="C19" s="495" t="s">
        <v>230</v>
      </c>
      <c r="D19" s="495" t="s">
        <v>279</v>
      </c>
      <c r="E19" s="495" t="s">
        <v>274</v>
      </c>
      <c r="F19" s="495" t="s">
        <v>247</v>
      </c>
      <c r="G19" s="495" t="s">
        <v>310</v>
      </c>
      <c r="H19" s="495" t="s">
        <v>169</v>
      </c>
      <c r="I19" s="495" t="s">
        <v>170</v>
      </c>
      <c r="J19" s="495" t="s">
        <v>281</v>
      </c>
      <c r="K19" s="495" t="s">
        <v>282</v>
      </c>
      <c r="L19" s="495" t="s">
        <v>284</v>
      </c>
      <c r="M19" s="495" t="s">
        <v>286</v>
      </c>
      <c r="N19" s="495" t="s">
        <v>275</v>
      </c>
      <c r="O19" s="495" t="s">
        <v>278</v>
      </c>
      <c r="P19" s="495" t="s">
        <v>276</v>
      </c>
      <c r="Q19" s="495" t="s">
        <v>65</v>
      </c>
    </row>
    <row r="20" spans="2:17" x14ac:dyDescent="0.3">
      <c r="E20" s="114"/>
      <c r="G20" s="114"/>
      <c r="O20" s="114"/>
    </row>
    <row r="21" spans="2:17" x14ac:dyDescent="0.3">
      <c r="B21" s="234"/>
      <c r="C21" s="11" t="s">
        <v>15</v>
      </c>
      <c r="D21" s="235"/>
      <c r="E21" s="8">
        <f>SUM(E22:E31)</f>
        <v>1043.75</v>
      </c>
      <c r="F21" s="236"/>
      <c r="G21" s="237"/>
      <c r="H21" s="236"/>
      <c r="I21" s="236"/>
      <c r="J21" s="236"/>
      <c r="K21" s="236"/>
      <c r="L21" s="236"/>
      <c r="M21" s="236"/>
      <c r="N21" s="236"/>
      <c r="O21" s="237"/>
      <c r="P21" s="236"/>
      <c r="Q21" s="238"/>
    </row>
    <row r="22" spans="2:17" ht="15.6" x14ac:dyDescent="0.35">
      <c r="B22" s="226" t="s">
        <v>312</v>
      </c>
      <c r="C22" s="15" t="s">
        <v>306</v>
      </c>
      <c r="D22" s="227">
        <v>2012</v>
      </c>
      <c r="E22" s="228">
        <v>17.5</v>
      </c>
      <c r="F22" s="243">
        <f>+G22/(E22*8760)</f>
        <v>0.68493150684931503</v>
      </c>
      <c r="G22" s="229">
        <v>105000</v>
      </c>
      <c r="H22" s="229">
        <v>9242.7000000000007</v>
      </c>
      <c r="I22" s="230">
        <f>1/(H22/$D$6)</f>
        <v>0.36917134603524943</v>
      </c>
      <c r="J22" s="230">
        <f>+$D$8*$D$9/I22</f>
        <v>0.54706304313422083</v>
      </c>
      <c r="K22" s="231">
        <f>+J22*G22</f>
        <v>57441.619529093186</v>
      </c>
      <c r="L22" s="231">
        <f>+G22*H22*1000/$D$7</f>
        <v>1023914.4265190434</v>
      </c>
      <c r="M22" s="232">
        <f>+L22*$D$15/1000-G22*$D$14</f>
        <v>413.56003141209476</v>
      </c>
      <c r="N22" s="230">
        <f>+'Grid-EF'!$H$13</f>
        <v>0.45819421742177691</v>
      </c>
      <c r="O22" s="231">
        <f t="shared" ref="O22" si="0">+N22*G22</f>
        <v>48110.392829286575</v>
      </c>
      <c r="P22" s="231">
        <f>+O22-K22-IF(M22&lt;0,0,M22)</f>
        <v>-9744.7867312187063</v>
      </c>
      <c r="Q22" s="134" t="s">
        <v>290</v>
      </c>
    </row>
    <row r="23" spans="2:17" x14ac:dyDescent="0.3">
      <c r="B23" s="226" t="s">
        <v>312</v>
      </c>
      <c r="C23" s="15" t="s">
        <v>307</v>
      </c>
      <c r="D23" s="227">
        <v>2012</v>
      </c>
      <c r="E23" s="228">
        <v>32.35</v>
      </c>
      <c r="F23" s="243">
        <f>+G23/(E23*8760)</f>
        <v>0.69516489875999521</v>
      </c>
      <c r="G23" s="229">
        <v>197000</v>
      </c>
      <c r="H23" s="229">
        <v>8039.9</v>
      </c>
      <c r="I23" s="230">
        <f>1/(H23/$D$6)</f>
        <v>0.42440080100498762</v>
      </c>
      <c r="J23" s="230">
        <f>+$D$8*$D$9/I23</f>
        <v>0.47587092088835747</v>
      </c>
      <c r="K23" s="231">
        <f>+J23*G23</f>
        <v>93746.571415006416</v>
      </c>
      <c r="L23" s="231">
        <f>+G23*H23*1000/$D$7</f>
        <v>1671061.2913674265</v>
      </c>
      <c r="M23" s="232">
        <f>+L23*$D$15/1000-G23*$D$14</f>
        <v>50.925500373661635</v>
      </c>
      <c r="N23" s="230">
        <f>+'Grid-EF'!$H$13</f>
        <v>0.45819421742177691</v>
      </c>
      <c r="O23" s="231">
        <f t="shared" ref="O23" si="1">+N23*G23</f>
        <v>90264.260832090047</v>
      </c>
      <c r="P23" s="231">
        <f>+O23-K23-IF(M23&lt;0,0,M23)</f>
        <v>-3533.2360832900304</v>
      </c>
      <c r="Q23" s="233" t="s">
        <v>280</v>
      </c>
    </row>
    <row r="24" spans="2:17" x14ac:dyDescent="0.3">
      <c r="B24" s="226" t="s">
        <v>312</v>
      </c>
      <c r="C24" s="15" t="s">
        <v>308</v>
      </c>
      <c r="D24" s="227">
        <v>2014</v>
      </c>
      <c r="E24" s="228">
        <v>49.02</v>
      </c>
      <c r="F24" s="243">
        <f>+G24/(E24*8760)</f>
        <v>0.549584644418735</v>
      </c>
      <c r="G24" s="229">
        <v>236000</v>
      </c>
      <c r="H24" s="229">
        <v>8814</v>
      </c>
      <c r="I24" s="230">
        <f>1/(H24/$D$6)</f>
        <v>0.38712729748127978</v>
      </c>
      <c r="J24" s="230">
        <f>+$D$8*$D$9/I24</f>
        <v>0.52168886388014557</v>
      </c>
      <c r="K24" s="231">
        <f>+J24*G24</f>
        <v>123118.57187571435</v>
      </c>
      <c r="L24" s="231">
        <f>+G24*H24*1000/$D$7</f>
        <v>2194626.1778381271</v>
      </c>
      <c r="M24" s="232">
        <f>+L24*$D$15/1000-G24*$D$14</f>
        <v>619.96957195553114</v>
      </c>
      <c r="N24" s="230">
        <f>+'Grid-EF'!$H$13</f>
        <v>0.45819421742177691</v>
      </c>
      <c r="O24" s="231">
        <f t="shared" ref="O24" si="2">+N24*G24</f>
        <v>108133.83531153935</v>
      </c>
      <c r="P24" s="231">
        <f>+O24-K24-IF(M24&lt;0,0,M24)</f>
        <v>-15604.706136130524</v>
      </c>
      <c r="Q24" s="233" t="s">
        <v>280</v>
      </c>
    </row>
    <row r="25" spans="2:17" x14ac:dyDescent="0.3">
      <c r="B25" s="226" t="s">
        <v>59</v>
      </c>
      <c r="C25" s="15" t="s">
        <v>235</v>
      </c>
      <c r="D25" s="227">
        <v>2019</v>
      </c>
      <c r="E25" s="228">
        <v>132.69</v>
      </c>
      <c r="F25" s="243">
        <v>0.7</v>
      </c>
      <c r="G25" s="229">
        <f t="shared" ref="G25:G30" si="3">+E25*F25*8760</f>
        <v>813655.08</v>
      </c>
      <c r="H25" s="229">
        <v>6449</v>
      </c>
      <c r="I25" s="230">
        <f>1/(H25/$D$6)</f>
        <v>0.52909598387346879</v>
      </c>
      <c r="J25" s="230">
        <f>+$D$8*$D$9/I25</f>
        <v>0.38170767905185599</v>
      </c>
      <c r="K25" s="231">
        <f>+J25*G25</f>
        <v>310578.39213555219</v>
      </c>
      <c r="L25" s="231">
        <f>+G25*H25*1000/$D$7</f>
        <v>5536154.7755737659</v>
      </c>
      <c r="M25" s="232">
        <f>+L25*$D$15/1000-G25*$D$14</f>
        <v>-3750.2272076156787</v>
      </c>
      <c r="N25" s="230">
        <f>+'Grid-EF'!$H$13</f>
        <v>0.45819421742177691</v>
      </c>
      <c r="O25" s="231">
        <f t="shared" ref="O25:O30" si="4">+N25*G25</f>
        <v>372812.05263185326</v>
      </c>
      <c r="P25" s="231">
        <f>+O25-K25-IF(M25&lt;0,0,M25)</f>
        <v>62233.660496301076</v>
      </c>
      <c r="Q25" s="233" t="s">
        <v>280</v>
      </c>
    </row>
    <row r="26" spans="2:17" x14ac:dyDescent="0.3">
      <c r="B26" s="226" t="s">
        <v>59</v>
      </c>
      <c r="C26" s="15" t="s">
        <v>236</v>
      </c>
      <c r="D26" s="227">
        <v>2019</v>
      </c>
      <c r="E26" s="228">
        <v>132.69</v>
      </c>
      <c r="F26" s="243">
        <v>0.7</v>
      </c>
      <c r="G26" s="229">
        <f t="shared" si="3"/>
        <v>813655.08</v>
      </c>
      <c r="H26" s="229">
        <v>6449</v>
      </c>
      <c r="I26" s="230">
        <f t="shared" ref="I26:I30" si="5">1/(H26/$D$6)</f>
        <v>0.52909598387346879</v>
      </c>
      <c r="J26" s="230">
        <f t="shared" ref="J26:J30" si="6">+$D$8*$D$9/I26</f>
        <v>0.38170767905185599</v>
      </c>
      <c r="K26" s="231">
        <f t="shared" ref="K26:K30" si="7">+J26*G26</f>
        <v>310578.39213555219</v>
      </c>
      <c r="L26" s="231">
        <f t="shared" ref="L26:L30" si="8">+G26*H26*1000/$D$7</f>
        <v>5536154.7755737659</v>
      </c>
      <c r="M26" s="232">
        <f t="shared" ref="M26:M30" si="9">+L26*$D$15/1000-G26*$D$14</f>
        <v>-3750.2272076156787</v>
      </c>
      <c r="N26" s="230">
        <f>+'Grid-EF'!$H$13</f>
        <v>0.45819421742177691</v>
      </c>
      <c r="O26" s="231">
        <f t="shared" si="4"/>
        <v>372812.05263185326</v>
      </c>
      <c r="P26" s="231">
        <f t="shared" ref="P26:P30" si="10">+O26-K26-IF(M26&lt;0,0,M26)</f>
        <v>62233.660496301076</v>
      </c>
      <c r="Q26" s="233" t="s">
        <v>280</v>
      </c>
    </row>
    <row r="27" spans="2:17" x14ac:dyDescent="0.3">
      <c r="B27" s="226" t="s">
        <v>59</v>
      </c>
      <c r="C27" s="15" t="s">
        <v>237</v>
      </c>
      <c r="D27" s="227">
        <v>2019</v>
      </c>
      <c r="E27" s="228">
        <v>135.15</v>
      </c>
      <c r="F27" s="243">
        <v>0.7</v>
      </c>
      <c r="G27" s="229">
        <f t="shared" si="3"/>
        <v>828739.8</v>
      </c>
      <c r="H27" s="229">
        <v>6449</v>
      </c>
      <c r="I27" s="230">
        <f t="shared" si="5"/>
        <v>0.52909598387346879</v>
      </c>
      <c r="J27" s="230">
        <f t="shared" si="6"/>
        <v>0.38170767905185599</v>
      </c>
      <c r="K27" s="231">
        <f t="shared" si="7"/>
        <v>316336.34559589933</v>
      </c>
      <c r="L27" s="231">
        <f t="shared" si="8"/>
        <v>5638792.056061456</v>
      </c>
      <c r="M27" s="232">
        <f t="shared" si="9"/>
        <v>-3819.7543681457428</v>
      </c>
      <c r="N27" s="230">
        <f>+'Grid-EF'!$H$13</f>
        <v>0.45819421742177691</v>
      </c>
      <c r="O27" s="231">
        <f t="shared" si="4"/>
        <v>379723.78410727991</v>
      </c>
      <c r="P27" s="231">
        <f t="shared" si="10"/>
        <v>63387.438511380577</v>
      </c>
      <c r="Q27" s="233" t="s">
        <v>280</v>
      </c>
    </row>
    <row r="28" spans="2:17" x14ac:dyDescent="0.3">
      <c r="B28" s="226" t="s">
        <v>59</v>
      </c>
      <c r="C28" s="15" t="s">
        <v>238</v>
      </c>
      <c r="D28" s="227">
        <v>2019</v>
      </c>
      <c r="E28" s="228">
        <v>135.15</v>
      </c>
      <c r="F28" s="243">
        <v>0.7</v>
      </c>
      <c r="G28" s="229">
        <f t="shared" si="3"/>
        <v>828739.8</v>
      </c>
      <c r="H28" s="229">
        <v>6449</v>
      </c>
      <c r="I28" s="230">
        <f t="shared" si="5"/>
        <v>0.52909598387346879</v>
      </c>
      <c r="J28" s="230">
        <f t="shared" si="6"/>
        <v>0.38170767905185599</v>
      </c>
      <c r="K28" s="231">
        <f t="shared" si="7"/>
        <v>316336.34559589933</v>
      </c>
      <c r="L28" s="231">
        <f t="shared" si="8"/>
        <v>5638792.056061456</v>
      </c>
      <c r="M28" s="232">
        <f t="shared" si="9"/>
        <v>-3819.7543681457428</v>
      </c>
      <c r="N28" s="230">
        <f>+'Grid-EF'!$H$13</f>
        <v>0.45819421742177691</v>
      </c>
      <c r="O28" s="231">
        <f t="shared" si="4"/>
        <v>379723.78410727991</v>
      </c>
      <c r="P28" s="231">
        <f t="shared" si="10"/>
        <v>63387.438511380577</v>
      </c>
      <c r="Q28" s="233" t="s">
        <v>280</v>
      </c>
    </row>
    <row r="29" spans="2:17" x14ac:dyDescent="0.3">
      <c r="B29" s="226" t="s">
        <v>59</v>
      </c>
      <c r="C29" s="15" t="s">
        <v>239</v>
      </c>
      <c r="D29" s="227">
        <v>2019</v>
      </c>
      <c r="E29" s="228">
        <v>136.4</v>
      </c>
      <c r="F29" s="243">
        <v>0.7</v>
      </c>
      <c r="G29" s="229">
        <f t="shared" si="3"/>
        <v>836404.8</v>
      </c>
      <c r="H29" s="229">
        <v>6449</v>
      </c>
      <c r="I29" s="230">
        <f t="shared" si="5"/>
        <v>0.52909598387346879</v>
      </c>
      <c r="J29" s="230">
        <f t="shared" si="6"/>
        <v>0.38170767905185599</v>
      </c>
      <c r="K29" s="231">
        <f t="shared" si="7"/>
        <v>319262.1349558318</v>
      </c>
      <c r="L29" s="231">
        <f t="shared" si="8"/>
        <v>5690945.1457401598</v>
      </c>
      <c r="M29" s="232">
        <f t="shared" si="9"/>
        <v>-3855.0832098784995</v>
      </c>
      <c r="N29" s="230">
        <f>+'Grid-EF'!$H$13</f>
        <v>0.45819421742177691</v>
      </c>
      <c r="O29" s="231">
        <f t="shared" si="4"/>
        <v>383235.84278381785</v>
      </c>
      <c r="P29" s="231">
        <f t="shared" si="10"/>
        <v>63973.707827986043</v>
      </c>
      <c r="Q29" s="233" t="s">
        <v>280</v>
      </c>
    </row>
    <row r="30" spans="2:17" x14ac:dyDescent="0.3">
      <c r="B30" s="226" t="s">
        <v>59</v>
      </c>
      <c r="C30" s="15" t="s">
        <v>240</v>
      </c>
      <c r="D30" s="227">
        <v>2019</v>
      </c>
      <c r="E30" s="228">
        <v>136.4</v>
      </c>
      <c r="F30" s="243">
        <v>0.7</v>
      </c>
      <c r="G30" s="229">
        <f t="shared" si="3"/>
        <v>836404.8</v>
      </c>
      <c r="H30" s="229">
        <v>6449</v>
      </c>
      <c r="I30" s="230">
        <f t="shared" si="5"/>
        <v>0.52909598387346879</v>
      </c>
      <c r="J30" s="230">
        <f t="shared" si="6"/>
        <v>0.38170767905185599</v>
      </c>
      <c r="K30" s="231">
        <f t="shared" si="7"/>
        <v>319262.1349558318</v>
      </c>
      <c r="L30" s="231">
        <f t="shared" si="8"/>
        <v>5690945.1457401598</v>
      </c>
      <c r="M30" s="232">
        <f t="shared" si="9"/>
        <v>-3855.0832098784995</v>
      </c>
      <c r="N30" s="230">
        <f>+'Grid-EF'!$H$13</f>
        <v>0.45819421742177691</v>
      </c>
      <c r="O30" s="231">
        <f t="shared" si="4"/>
        <v>383235.84278381785</v>
      </c>
      <c r="P30" s="231">
        <f t="shared" si="10"/>
        <v>63973.707827986043</v>
      </c>
      <c r="Q30" s="233" t="s">
        <v>280</v>
      </c>
    </row>
    <row r="31" spans="2:17" x14ac:dyDescent="0.3">
      <c r="B31" s="226" t="s">
        <v>59</v>
      </c>
      <c r="C31" s="15" t="s">
        <v>241</v>
      </c>
      <c r="D31" s="227">
        <v>2019</v>
      </c>
      <c r="E31" s="228">
        <v>136.4</v>
      </c>
      <c r="F31" s="243">
        <v>0.7</v>
      </c>
      <c r="G31" s="229">
        <f t="shared" ref="G31" si="11">+E31*F31*8760</f>
        <v>836404.8</v>
      </c>
      <c r="H31" s="229">
        <v>6449</v>
      </c>
      <c r="I31" s="230">
        <f t="shared" ref="I31" si="12">1/(H31/$D$6)</f>
        <v>0.52909598387346879</v>
      </c>
      <c r="J31" s="230">
        <f t="shared" ref="J31" si="13">+$D$8*$D$9/I31</f>
        <v>0.38170767905185599</v>
      </c>
      <c r="K31" s="231">
        <f t="shared" ref="K31" si="14">+J31*G31</f>
        <v>319262.1349558318</v>
      </c>
      <c r="L31" s="231">
        <f t="shared" ref="L31" si="15">+G31*H31*1000/$D$7</f>
        <v>5690945.1457401598</v>
      </c>
      <c r="M31" s="232">
        <f>+L31*$D$15/1000-G31*$D$14</f>
        <v>-3855.0832098784995</v>
      </c>
      <c r="N31" s="230">
        <f>+'Grid-EF'!$H$13</f>
        <v>0.45819421742177691</v>
      </c>
      <c r="O31" s="231">
        <f t="shared" ref="O31" si="16">+N31*G31</f>
        <v>383235.84278381785</v>
      </c>
      <c r="P31" s="231">
        <f t="shared" ref="P31" si="17">+O31-K31-IF(M31&lt;0,0,M31)</f>
        <v>63973.707827986043</v>
      </c>
      <c r="Q31" s="233" t="s">
        <v>280</v>
      </c>
    </row>
    <row r="32" spans="2:17" x14ac:dyDescent="0.3">
      <c r="D32" s="27"/>
      <c r="E32" s="3"/>
      <c r="L32" s="9"/>
      <c r="M32" s="9"/>
    </row>
    <row r="33" spans="1:17" x14ac:dyDescent="0.3">
      <c r="B33" s="234"/>
      <c r="C33" s="11" t="s">
        <v>242</v>
      </c>
      <c r="D33" s="235"/>
      <c r="E33" s="239">
        <f>SUM(E34:E37)</f>
        <v>535.79999999999995</v>
      </c>
      <c r="F33" s="236"/>
      <c r="G33" s="237">
        <f>SUM(G34:G37)</f>
        <v>0</v>
      </c>
      <c r="H33" s="237"/>
      <c r="I33" s="237"/>
      <c r="J33" s="237"/>
      <c r="K33" s="237"/>
      <c r="L33" s="237"/>
      <c r="M33" s="237"/>
      <c r="N33" s="240"/>
      <c r="O33" s="237"/>
      <c r="P33" s="236"/>
      <c r="Q33" s="238"/>
    </row>
    <row r="34" spans="1:17" x14ac:dyDescent="0.3">
      <c r="B34" s="226" t="s">
        <v>59</v>
      </c>
      <c r="C34" s="15" t="s">
        <v>244</v>
      </c>
      <c r="D34" s="227">
        <v>2020</v>
      </c>
      <c r="E34" s="228">
        <f>+'GHG-ER-SC-&gt;CC'!T16</f>
        <v>132.69999999999999</v>
      </c>
      <c r="F34" s="15"/>
      <c r="G34" s="15"/>
      <c r="H34" s="15"/>
      <c r="I34" s="15"/>
      <c r="J34" s="15"/>
      <c r="K34" s="231">
        <f>+'GHG-ER-SC-&gt;CC'!$Z$16</f>
        <v>310601.79845043161</v>
      </c>
      <c r="L34" s="15"/>
      <c r="M34" s="231">
        <f>+'GHG-ER-SC-&gt;CC'!$AF$16</f>
        <v>0</v>
      </c>
      <c r="N34" s="230"/>
      <c r="O34" s="231">
        <f>+'GHG-ER-SC-&gt;CC'!$AA$16</f>
        <v>430211.54078648379</v>
      </c>
      <c r="P34" s="229">
        <f>+'GHG-ER-SC-&gt;CC'!$AG$16</f>
        <v>119609.74233605218</v>
      </c>
      <c r="Q34" s="233" t="s">
        <v>524</v>
      </c>
    </row>
    <row r="35" spans="1:17" x14ac:dyDescent="0.3">
      <c r="A35" s="3"/>
      <c r="B35" s="226" t="s">
        <v>59</v>
      </c>
      <c r="C35" s="15" t="s">
        <v>243</v>
      </c>
      <c r="D35" s="227">
        <v>2020</v>
      </c>
      <c r="E35" s="228">
        <f>+'GHG-ER-SC-&gt;CC'!T20</f>
        <v>132.69999999999999</v>
      </c>
      <c r="F35" s="15"/>
      <c r="G35" s="15"/>
      <c r="H35" s="15"/>
      <c r="I35" s="15"/>
      <c r="J35" s="15"/>
      <c r="K35" s="231">
        <f>+'GHG-ER-SC-&gt;CC'!$Z$20</f>
        <v>310601.79845043161</v>
      </c>
      <c r="L35" s="15"/>
      <c r="M35" s="231">
        <f>+'GHG-ER-SC-&gt;CC'!$AF$20</f>
        <v>0</v>
      </c>
      <c r="N35" s="230"/>
      <c r="O35" s="231">
        <f>+'GHG-ER-SC-&gt;CC'!$AA$20</f>
        <v>430267.82136063062</v>
      </c>
      <c r="P35" s="229">
        <f>+'GHG-ER-SC-&gt;CC'!$AG$20</f>
        <v>119666.02291019901</v>
      </c>
      <c r="Q35" s="233" t="s">
        <v>524</v>
      </c>
    </row>
    <row r="36" spans="1:17" x14ac:dyDescent="0.3">
      <c r="B36" s="226" t="s">
        <v>59</v>
      </c>
      <c r="C36" s="15" t="s">
        <v>245</v>
      </c>
      <c r="D36" s="227">
        <v>2020</v>
      </c>
      <c r="E36" s="228">
        <f>+'GHG-ER-SC-&gt;CC'!T24</f>
        <v>135.19999999999999</v>
      </c>
      <c r="F36" s="15"/>
      <c r="G36" s="15"/>
      <c r="H36" s="15"/>
      <c r="I36" s="15"/>
      <c r="J36" s="15"/>
      <c r="K36" s="231">
        <f>+'GHG-ER-SC-&gt;CC'!$Z$24</f>
        <v>316453.37717029656</v>
      </c>
      <c r="L36" s="15"/>
      <c r="M36" s="231">
        <f>+'GHG-ER-SC-&gt;CC'!$AF$24</f>
        <v>2336.5956021758052</v>
      </c>
      <c r="N36" s="230"/>
      <c r="O36" s="231">
        <f>+'GHG-ER-SC-&gt;CC'!$AA$24</f>
        <v>419517.07218466577</v>
      </c>
      <c r="P36" s="229">
        <f>+'GHG-ER-SC-&gt;CC'!$AG$24</f>
        <v>100727.09941219341</v>
      </c>
      <c r="Q36" s="233" t="s">
        <v>524</v>
      </c>
    </row>
    <row r="37" spans="1:17" x14ac:dyDescent="0.3">
      <c r="B37" s="226" t="s">
        <v>59</v>
      </c>
      <c r="C37" s="15" t="s">
        <v>246</v>
      </c>
      <c r="D37" s="227">
        <v>2020</v>
      </c>
      <c r="E37" s="228">
        <f>+'GHG-ER-SC-&gt;CC'!T28</f>
        <v>135.19999999999999</v>
      </c>
      <c r="F37" s="15"/>
      <c r="G37" s="15"/>
      <c r="H37" s="15"/>
      <c r="I37" s="15"/>
      <c r="J37" s="15"/>
      <c r="K37" s="231">
        <f>+'GHG-ER-SC-&gt;CC'!$Z$28</f>
        <v>316453.37717029656</v>
      </c>
      <c r="L37" s="15"/>
      <c r="M37" s="231">
        <f>+'GHG-ER-SC-&gt;CC'!$AF$28</f>
        <v>2099.6348301682692</v>
      </c>
      <c r="N37" s="230"/>
      <c r="O37" s="231">
        <f>+'GHG-ER-SC-&gt;CC'!$AA$28</f>
        <v>421607.85975547816</v>
      </c>
      <c r="P37" s="229">
        <f>+'GHG-ER-SC-&gt;CC'!$AG$28</f>
        <v>103054.84775501332</v>
      </c>
      <c r="Q37" s="233" t="s">
        <v>524</v>
      </c>
    </row>
    <row r="38" spans="1:17" x14ac:dyDescent="0.3">
      <c r="B38" s="27"/>
      <c r="D38" s="27"/>
      <c r="E38" s="3"/>
      <c r="N38" s="148"/>
    </row>
    <row r="39" spans="1:17" x14ac:dyDescent="0.3">
      <c r="B39" s="234"/>
      <c r="C39" s="11" t="s">
        <v>0</v>
      </c>
      <c r="D39" s="235"/>
      <c r="E39" s="239">
        <f>SUM(E41:E56)</f>
        <v>2727.05</v>
      </c>
      <c r="F39" s="236"/>
      <c r="G39" s="237"/>
      <c r="H39" s="237"/>
      <c r="I39" s="237"/>
      <c r="J39" s="237"/>
      <c r="K39" s="237"/>
      <c r="L39" s="237"/>
      <c r="M39" s="237"/>
      <c r="N39" s="240"/>
      <c r="O39" s="237"/>
      <c r="P39" s="236"/>
      <c r="Q39" s="238"/>
    </row>
    <row r="40" spans="1:17" x14ac:dyDescent="0.3">
      <c r="B40" s="226"/>
      <c r="C40" s="15"/>
      <c r="D40" s="227"/>
      <c r="E40" s="228"/>
      <c r="F40" s="263"/>
      <c r="G40" s="229"/>
      <c r="H40" s="229"/>
      <c r="I40" s="229"/>
      <c r="J40" s="229"/>
      <c r="K40" s="229"/>
      <c r="L40" s="229"/>
      <c r="M40" s="229"/>
      <c r="N40" s="230"/>
      <c r="O40" s="231"/>
      <c r="P40" s="15"/>
      <c r="Q40" s="134"/>
    </row>
    <row r="41" spans="1:17" x14ac:dyDescent="0.3">
      <c r="B41" s="226" t="s">
        <v>264</v>
      </c>
      <c r="C41" s="15" t="s">
        <v>7</v>
      </c>
      <c r="D41" s="227">
        <v>2017</v>
      </c>
      <c r="E41" s="228">
        <v>120</v>
      </c>
      <c r="F41" s="243">
        <v>0.5</v>
      </c>
      <c r="G41" s="229">
        <f>+E41*F41*8760</f>
        <v>525600</v>
      </c>
      <c r="H41" s="229"/>
      <c r="I41" s="229"/>
      <c r="J41" s="229"/>
      <c r="K41" s="229"/>
      <c r="L41" s="229"/>
      <c r="M41" s="229"/>
      <c r="N41" s="230">
        <f>+'Grid-EF'!$H$13</f>
        <v>0.45819421742177691</v>
      </c>
      <c r="O41" s="231">
        <f t="shared" ref="O41:O56" si="18">+N41*G41</f>
        <v>240826.88067688595</v>
      </c>
      <c r="P41" s="231">
        <f>+O41</f>
        <v>240826.88067688595</v>
      </c>
      <c r="Q41" s="134"/>
    </row>
    <row r="42" spans="1:17" x14ac:dyDescent="0.3">
      <c r="B42" s="226" t="s">
        <v>264</v>
      </c>
      <c r="C42" s="15" t="s">
        <v>302</v>
      </c>
      <c r="D42" s="227">
        <v>2018</v>
      </c>
      <c r="E42" s="228">
        <v>55</v>
      </c>
      <c r="F42" s="243">
        <v>0.5</v>
      </c>
      <c r="G42" s="229">
        <f>+E42*F42*8760</f>
        <v>240900</v>
      </c>
      <c r="H42" s="229"/>
      <c r="I42" s="229"/>
      <c r="J42" s="229"/>
      <c r="K42" s="229"/>
      <c r="L42" s="229"/>
      <c r="M42" s="229"/>
      <c r="N42" s="230">
        <f>+'Grid-EF'!$H$13</f>
        <v>0.45819421742177691</v>
      </c>
      <c r="O42" s="231">
        <f t="shared" si="18"/>
        <v>110378.98697690606</v>
      </c>
      <c r="P42" s="231">
        <f t="shared" ref="P42:P56" si="19">+O42</f>
        <v>110378.98697690606</v>
      </c>
      <c r="Q42" s="134"/>
    </row>
    <row r="43" spans="1:17" x14ac:dyDescent="0.3">
      <c r="B43" s="226" t="s">
        <v>59</v>
      </c>
      <c r="C43" s="15" t="s">
        <v>60</v>
      </c>
      <c r="D43" s="227">
        <v>2019</v>
      </c>
      <c r="E43" s="228">
        <v>69</v>
      </c>
      <c r="F43" s="243">
        <v>0.5</v>
      </c>
      <c r="G43" s="229">
        <f>+E43*F43*8760</f>
        <v>302220</v>
      </c>
      <c r="H43" s="229"/>
      <c r="I43" s="229"/>
      <c r="J43" s="229"/>
      <c r="K43" s="229"/>
      <c r="L43" s="229"/>
      <c r="M43" s="229"/>
      <c r="N43" s="230">
        <f>+'Grid-EF'!$H$13</f>
        <v>0.45819421742177691</v>
      </c>
      <c r="O43" s="231">
        <f t="shared" si="18"/>
        <v>138475.45638920943</v>
      </c>
      <c r="P43" s="231">
        <f t="shared" si="19"/>
        <v>138475.45638920943</v>
      </c>
      <c r="Q43" s="134"/>
    </row>
    <row r="44" spans="1:17" x14ac:dyDescent="0.3">
      <c r="B44" s="226" t="s">
        <v>59</v>
      </c>
      <c r="C44" s="15" t="s">
        <v>61</v>
      </c>
      <c r="D44" s="227">
        <v>2021</v>
      </c>
      <c r="E44" s="228">
        <v>198.6</v>
      </c>
      <c r="F44" s="243">
        <v>0.5</v>
      </c>
      <c r="G44" s="229">
        <f t="shared" ref="G44:G54" si="20">+E44*F44*8760</f>
        <v>869868</v>
      </c>
      <c r="H44" s="229"/>
      <c r="I44" s="229"/>
      <c r="J44" s="229"/>
      <c r="K44" s="229"/>
      <c r="L44" s="229"/>
      <c r="M44" s="229"/>
      <c r="N44" s="230">
        <f>+'Grid-EF'!$H$13</f>
        <v>0.45819421742177691</v>
      </c>
      <c r="O44" s="231">
        <f t="shared" si="18"/>
        <v>398568.48752024624</v>
      </c>
      <c r="P44" s="231">
        <f t="shared" si="19"/>
        <v>398568.48752024624</v>
      </c>
      <c r="Q44" s="134"/>
    </row>
    <row r="45" spans="1:17" x14ac:dyDescent="0.3">
      <c r="B45" s="226" t="s">
        <v>59</v>
      </c>
      <c r="C45" s="15" t="s">
        <v>62</v>
      </c>
      <c r="D45" s="227">
        <v>2021</v>
      </c>
      <c r="E45" s="228">
        <v>91.56</v>
      </c>
      <c r="F45" s="243">
        <v>0.5</v>
      </c>
      <c r="G45" s="229">
        <f t="shared" si="20"/>
        <v>401032.8</v>
      </c>
      <c r="H45" s="229"/>
      <c r="I45" s="229"/>
      <c r="J45" s="229"/>
      <c r="K45" s="229"/>
      <c r="L45" s="229"/>
      <c r="M45" s="229"/>
      <c r="N45" s="230">
        <f>+'Grid-EF'!$H$13</f>
        <v>0.45819421742177691</v>
      </c>
      <c r="O45" s="231">
        <f t="shared" si="18"/>
        <v>183750.90995646396</v>
      </c>
      <c r="P45" s="231">
        <f t="shared" si="19"/>
        <v>183750.90995646396</v>
      </c>
      <c r="Q45" s="134"/>
    </row>
    <row r="46" spans="1:17" x14ac:dyDescent="0.3">
      <c r="B46" s="226" t="s">
        <v>59</v>
      </c>
      <c r="C46" s="15" t="s">
        <v>63</v>
      </c>
      <c r="D46" s="227">
        <v>2021</v>
      </c>
      <c r="E46" s="228">
        <v>85.8</v>
      </c>
      <c r="F46" s="243">
        <v>0.5</v>
      </c>
      <c r="G46" s="229">
        <f t="shared" si="20"/>
        <v>375804</v>
      </c>
      <c r="H46" s="229"/>
      <c r="I46" s="229"/>
      <c r="J46" s="229"/>
      <c r="K46" s="229"/>
      <c r="L46" s="229"/>
      <c r="M46" s="229"/>
      <c r="N46" s="230">
        <f>+'Grid-EF'!$H$13</f>
        <v>0.45819421742177691</v>
      </c>
      <c r="O46" s="231">
        <f t="shared" si="18"/>
        <v>172191.21968397344</v>
      </c>
      <c r="P46" s="231">
        <f t="shared" si="19"/>
        <v>172191.21968397344</v>
      </c>
      <c r="Q46" s="134"/>
    </row>
    <row r="47" spans="1:17" x14ac:dyDescent="0.3">
      <c r="B47" s="226" t="s">
        <v>59</v>
      </c>
      <c r="C47" s="15" t="s">
        <v>64</v>
      </c>
      <c r="D47" s="227">
        <v>2021</v>
      </c>
      <c r="E47" s="228">
        <v>118.2</v>
      </c>
      <c r="F47" s="243">
        <v>0.5</v>
      </c>
      <c r="G47" s="229">
        <f t="shared" si="20"/>
        <v>517716</v>
      </c>
      <c r="H47" s="229"/>
      <c r="I47" s="229"/>
      <c r="J47" s="229"/>
      <c r="K47" s="229"/>
      <c r="L47" s="229"/>
      <c r="M47" s="229"/>
      <c r="N47" s="230">
        <f>+'Grid-EF'!$H$13</f>
        <v>0.45819421742177691</v>
      </c>
      <c r="O47" s="231">
        <f t="shared" si="18"/>
        <v>237214.47746673264</v>
      </c>
      <c r="P47" s="231">
        <f t="shared" si="19"/>
        <v>237214.47746673264</v>
      </c>
      <c r="Q47" s="134"/>
    </row>
    <row r="48" spans="1:17" x14ac:dyDescent="0.3">
      <c r="B48" s="245" t="s">
        <v>264</v>
      </c>
      <c r="C48" s="15" t="s">
        <v>250</v>
      </c>
      <c r="D48" s="227" t="s">
        <v>527</v>
      </c>
      <c r="E48" s="228">
        <v>253.89</v>
      </c>
      <c r="F48" s="243">
        <v>0.5</v>
      </c>
      <c r="G48" s="229">
        <f t="shared" si="20"/>
        <v>1112038.2</v>
      </c>
      <c r="H48" s="229"/>
      <c r="I48" s="229"/>
      <c r="J48" s="229"/>
      <c r="K48" s="229"/>
      <c r="L48" s="229"/>
      <c r="M48" s="229"/>
      <c r="N48" s="230">
        <f>+'Grid-EF'!$H$13</f>
        <v>0.45819421742177691</v>
      </c>
      <c r="O48" s="231">
        <f t="shared" si="18"/>
        <v>509529.47279212141</v>
      </c>
      <c r="P48" s="231">
        <f t="shared" si="19"/>
        <v>509529.47279212141</v>
      </c>
      <c r="Q48" s="134"/>
    </row>
    <row r="49" spans="2:17" x14ac:dyDescent="0.3">
      <c r="B49" s="108" t="s">
        <v>525</v>
      </c>
      <c r="C49" s="15" t="s">
        <v>251</v>
      </c>
      <c r="D49" s="227" t="s">
        <v>527</v>
      </c>
      <c r="E49" s="228">
        <v>91</v>
      </c>
      <c r="F49" s="243">
        <v>0.5</v>
      </c>
      <c r="G49" s="229">
        <f t="shared" si="20"/>
        <v>398580</v>
      </c>
      <c r="H49" s="229"/>
      <c r="I49" s="229"/>
      <c r="J49" s="229"/>
      <c r="K49" s="229"/>
      <c r="L49" s="229"/>
      <c r="M49" s="229"/>
      <c r="N49" s="230">
        <f>+'Grid-EF'!$H$13</f>
        <v>0.45819421742177691</v>
      </c>
      <c r="O49" s="231">
        <f t="shared" si="18"/>
        <v>182627.05117997184</v>
      </c>
      <c r="P49" s="231">
        <f t="shared" si="19"/>
        <v>182627.05117997184</v>
      </c>
      <c r="Q49" s="134"/>
    </row>
    <row r="50" spans="2:17" x14ac:dyDescent="0.3">
      <c r="B50" s="245" t="s">
        <v>264</v>
      </c>
      <c r="C50" s="15" t="s">
        <v>252</v>
      </c>
      <c r="D50" s="227" t="s">
        <v>258</v>
      </c>
      <c r="E50" s="228">
        <v>347</v>
      </c>
      <c r="F50" s="243">
        <v>0.5</v>
      </c>
      <c r="G50" s="229">
        <f>+E50*F50*8760</f>
        <v>1519860</v>
      </c>
      <c r="H50" s="229"/>
      <c r="I50" s="229"/>
      <c r="J50" s="229"/>
      <c r="K50" s="229"/>
      <c r="L50" s="229"/>
      <c r="M50" s="229"/>
      <c r="N50" s="230">
        <f>+'Grid-EF'!$H$13</f>
        <v>0.45819421742177691</v>
      </c>
      <c r="O50" s="231">
        <f t="shared" si="18"/>
        <v>696391.0632906619</v>
      </c>
      <c r="P50" s="231">
        <f t="shared" si="19"/>
        <v>696391.0632906619</v>
      </c>
      <c r="Q50" s="134"/>
    </row>
    <row r="51" spans="2:17" x14ac:dyDescent="0.3">
      <c r="B51" s="108" t="s">
        <v>525</v>
      </c>
      <c r="C51" s="15" t="s">
        <v>253</v>
      </c>
      <c r="D51" s="227" t="s">
        <v>258</v>
      </c>
      <c r="E51" s="228">
        <v>132</v>
      </c>
      <c r="F51" s="243">
        <v>0.5</v>
      </c>
      <c r="G51" s="229">
        <f t="shared" si="20"/>
        <v>578160</v>
      </c>
      <c r="H51" s="229"/>
      <c r="I51" s="229"/>
      <c r="J51" s="229"/>
      <c r="K51" s="229"/>
      <c r="L51" s="229"/>
      <c r="M51" s="229"/>
      <c r="N51" s="230">
        <f>+'Grid-EF'!$H$13</f>
        <v>0.45819421742177691</v>
      </c>
      <c r="O51" s="231">
        <f t="shared" si="18"/>
        <v>264909.56874457456</v>
      </c>
      <c r="P51" s="231">
        <f t="shared" si="19"/>
        <v>264909.56874457456</v>
      </c>
      <c r="Q51" s="134"/>
    </row>
    <row r="52" spans="2:17" x14ac:dyDescent="0.3">
      <c r="B52" s="108" t="s">
        <v>264</v>
      </c>
      <c r="C52" s="15" t="s">
        <v>254</v>
      </c>
      <c r="D52" s="227" t="s">
        <v>258</v>
      </c>
      <c r="E52" s="228">
        <v>600</v>
      </c>
      <c r="F52" s="243">
        <v>0.5</v>
      </c>
      <c r="G52" s="229">
        <f t="shared" si="20"/>
        <v>2628000</v>
      </c>
      <c r="H52" s="229"/>
      <c r="I52" s="229"/>
      <c r="J52" s="229"/>
      <c r="K52" s="229"/>
      <c r="L52" s="229"/>
      <c r="M52" s="229"/>
      <c r="N52" s="230">
        <f>+'Grid-EF'!$H$13</f>
        <v>0.45819421742177691</v>
      </c>
      <c r="O52" s="231">
        <f t="shared" si="18"/>
        <v>1204134.4033844296</v>
      </c>
      <c r="P52" s="231">
        <f t="shared" si="19"/>
        <v>1204134.4033844296</v>
      </c>
      <c r="Q52" s="134"/>
    </row>
    <row r="53" spans="2:17" x14ac:dyDescent="0.3">
      <c r="B53" s="108" t="s">
        <v>525</v>
      </c>
      <c r="C53" s="15" t="s">
        <v>256</v>
      </c>
      <c r="D53" s="227" t="s">
        <v>258</v>
      </c>
      <c r="E53" s="228">
        <v>93</v>
      </c>
      <c r="F53" s="243">
        <v>0.5</v>
      </c>
      <c r="G53" s="229">
        <f t="shared" si="20"/>
        <v>407340</v>
      </c>
      <c r="H53" s="229"/>
      <c r="I53" s="229"/>
      <c r="J53" s="229"/>
      <c r="K53" s="229"/>
      <c r="L53" s="229"/>
      <c r="M53" s="229"/>
      <c r="N53" s="230">
        <f>+'Grid-EF'!$H$13</f>
        <v>0.45819421742177691</v>
      </c>
      <c r="O53" s="231">
        <f t="shared" si="18"/>
        <v>186640.83252458661</v>
      </c>
      <c r="P53" s="231">
        <f t="shared" si="19"/>
        <v>186640.83252458661</v>
      </c>
      <c r="Q53" s="134"/>
    </row>
    <row r="54" spans="2:17" x14ac:dyDescent="0.3">
      <c r="B54" s="108" t="s">
        <v>525</v>
      </c>
      <c r="C54" s="15" t="s">
        <v>257</v>
      </c>
      <c r="D54" s="227" t="s">
        <v>258</v>
      </c>
      <c r="E54" s="228">
        <v>220</v>
      </c>
      <c r="F54" s="243">
        <v>0.5</v>
      </c>
      <c r="G54" s="229">
        <f t="shared" si="20"/>
        <v>963600</v>
      </c>
      <c r="H54" s="229"/>
      <c r="I54" s="229"/>
      <c r="J54" s="229"/>
      <c r="K54" s="229"/>
      <c r="L54" s="229"/>
      <c r="M54" s="229"/>
      <c r="N54" s="230">
        <f>+'Grid-EF'!$H$13</f>
        <v>0.45819421742177691</v>
      </c>
      <c r="O54" s="231">
        <f t="shared" si="18"/>
        <v>441515.94790762424</v>
      </c>
      <c r="P54" s="231">
        <f t="shared" si="19"/>
        <v>441515.94790762424</v>
      </c>
      <c r="Q54" s="134"/>
    </row>
    <row r="55" spans="2:17" x14ac:dyDescent="0.3">
      <c r="B55" s="108" t="s">
        <v>264</v>
      </c>
      <c r="C55" s="15" t="s">
        <v>303</v>
      </c>
      <c r="D55" s="264" t="s">
        <v>255</v>
      </c>
      <c r="E55" s="228">
        <v>102</v>
      </c>
      <c r="F55" s="243">
        <v>0.5</v>
      </c>
      <c r="G55" s="229">
        <f t="shared" ref="G55:G56" si="21">+E55*F55*8760</f>
        <v>446760</v>
      </c>
      <c r="H55" s="229"/>
      <c r="I55" s="229"/>
      <c r="J55" s="229"/>
      <c r="K55" s="229"/>
      <c r="L55" s="229"/>
      <c r="M55" s="229"/>
      <c r="N55" s="230">
        <v>0.46</v>
      </c>
      <c r="O55" s="231">
        <f t="shared" si="18"/>
        <v>205509.6</v>
      </c>
      <c r="P55" s="231">
        <f t="shared" si="19"/>
        <v>205509.6</v>
      </c>
      <c r="Q55" s="134"/>
    </row>
    <row r="56" spans="2:17" x14ac:dyDescent="0.3">
      <c r="B56" s="108" t="s">
        <v>264</v>
      </c>
      <c r="C56" s="15" t="s">
        <v>304</v>
      </c>
      <c r="D56" s="264" t="s">
        <v>255</v>
      </c>
      <c r="E56" s="228">
        <v>150</v>
      </c>
      <c r="F56" s="243">
        <v>0.5</v>
      </c>
      <c r="G56" s="229">
        <f t="shared" si="21"/>
        <v>657000</v>
      </c>
      <c r="H56" s="229"/>
      <c r="I56" s="229"/>
      <c r="J56" s="229"/>
      <c r="K56" s="229"/>
      <c r="L56" s="229"/>
      <c r="M56" s="229"/>
      <c r="N56" s="230">
        <v>0.46</v>
      </c>
      <c r="O56" s="231">
        <f t="shared" si="18"/>
        <v>302220</v>
      </c>
      <c r="P56" s="231">
        <f t="shared" si="19"/>
        <v>302220</v>
      </c>
      <c r="Q56" s="134"/>
    </row>
    <row r="57" spans="2:17" x14ac:dyDescent="0.3">
      <c r="B57" s="27"/>
      <c r="D57" s="27"/>
      <c r="E57" s="3"/>
      <c r="N57" s="148"/>
    </row>
    <row r="58" spans="2:17" x14ac:dyDescent="0.3">
      <c r="B58" s="234"/>
      <c r="C58" s="11" t="s">
        <v>260</v>
      </c>
      <c r="D58" s="235"/>
      <c r="E58" s="239">
        <f>SUM(E59:E61)</f>
        <v>5570</v>
      </c>
      <c r="F58" s="242"/>
      <c r="G58" s="237"/>
      <c r="H58" s="237"/>
      <c r="I58" s="237"/>
      <c r="J58" s="237"/>
      <c r="K58" s="237"/>
      <c r="L58" s="237"/>
      <c r="M58" s="237"/>
      <c r="N58" s="240"/>
      <c r="O58" s="237"/>
      <c r="P58" s="236"/>
      <c r="Q58" s="238"/>
    </row>
    <row r="59" spans="2:17" x14ac:dyDescent="0.3">
      <c r="B59" s="108" t="s">
        <v>395</v>
      </c>
      <c r="C59" s="15" t="s">
        <v>305</v>
      </c>
      <c r="D59" s="227" t="s">
        <v>263</v>
      </c>
      <c r="E59" s="228">
        <f>3072-172</f>
        <v>2900</v>
      </c>
      <c r="F59" s="243">
        <f>+G59/8760/E59</f>
        <v>0.53393937962525584</v>
      </c>
      <c r="G59" s="229">
        <f>13940000-G46</f>
        <v>13564196</v>
      </c>
      <c r="H59" s="229"/>
      <c r="I59" s="229"/>
      <c r="J59" s="229"/>
      <c r="K59" s="229"/>
      <c r="L59" s="229"/>
      <c r="M59" s="229"/>
      <c r="N59" s="230">
        <f>+'Grid-EF'!$H$13</f>
        <v>0.45819421742177691</v>
      </c>
      <c r="O59" s="231">
        <f>+N59*G59</f>
        <v>6215036.1711755963</v>
      </c>
      <c r="P59" s="231">
        <f>+O59</f>
        <v>6215036.1711755963</v>
      </c>
      <c r="Q59" s="134"/>
    </row>
    <row r="60" spans="2:17" x14ac:dyDescent="0.3">
      <c r="B60" s="108" t="s">
        <v>264</v>
      </c>
      <c r="C60" s="15" t="s">
        <v>261</v>
      </c>
      <c r="D60" s="227" t="s">
        <v>263</v>
      </c>
      <c r="E60" s="228">
        <v>990</v>
      </c>
      <c r="F60" s="243">
        <f>+G60/8760/E60</f>
        <v>0.65725750657257509</v>
      </c>
      <c r="G60" s="229">
        <v>5700000</v>
      </c>
      <c r="H60" s="229"/>
      <c r="I60" s="229"/>
      <c r="J60" s="229"/>
      <c r="K60" s="229"/>
      <c r="L60" s="229"/>
      <c r="M60" s="229"/>
      <c r="N60" s="230">
        <f>+'Grid-EF'!$H$13</f>
        <v>0.45819421742177691</v>
      </c>
      <c r="O60" s="231">
        <f>+N60*G60</f>
        <v>2611707.0393041284</v>
      </c>
      <c r="P60" s="231">
        <f t="shared" ref="P60:P61" si="22">+O60</f>
        <v>2611707.0393041284</v>
      </c>
      <c r="Q60" s="134"/>
    </row>
    <row r="61" spans="2:17" x14ac:dyDescent="0.3">
      <c r="B61" s="108" t="s">
        <v>264</v>
      </c>
      <c r="C61" s="15" t="s">
        <v>262</v>
      </c>
      <c r="D61" s="227" t="s">
        <v>263</v>
      </c>
      <c r="E61" s="228">
        <v>1680</v>
      </c>
      <c r="F61" s="243">
        <v>0.5</v>
      </c>
      <c r="G61" s="229">
        <f>+E61*F61*8760</f>
        <v>7358400</v>
      </c>
      <c r="H61" s="229"/>
      <c r="I61" s="229"/>
      <c r="J61" s="229"/>
      <c r="K61" s="229"/>
      <c r="L61" s="229"/>
      <c r="M61" s="229"/>
      <c r="N61" s="230">
        <f>+'Grid-EF'!$H$13</f>
        <v>0.45819421742177691</v>
      </c>
      <c r="O61" s="231">
        <f>+N61*G61</f>
        <v>3371576.3294764031</v>
      </c>
      <c r="P61" s="231">
        <f t="shared" si="22"/>
        <v>3371576.3294764031</v>
      </c>
      <c r="Q61" s="134"/>
    </row>
    <row r="62" spans="2:17" x14ac:dyDescent="0.3">
      <c r="B62" s="27"/>
      <c r="D62" s="27"/>
      <c r="E62" s="3"/>
      <c r="N62" s="148"/>
    </row>
    <row r="63" spans="2:17" x14ac:dyDescent="0.3">
      <c r="B63" s="234"/>
      <c r="C63" s="11" t="s">
        <v>8</v>
      </c>
      <c r="D63" s="236"/>
      <c r="E63" s="239">
        <f>+SUM(E64:E70)</f>
        <v>180</v>
      </c>
      <c r="F63" s="236"/>
      <c r="G63" s="237"/>
      <c r="H63" s="237"/>
      <c r="I63" s="237"/>
      <c r="J63" s="237"/>
      <c r="K63" s="237"/>
      <c r="L63" s="237"/>
      <c r="M63" s="237"/>
      <c r="N63" s="236"/>
      <c r="O63" s="237"/>
      <c r="P63" s="236"/>
      <c r="Q63" s="238"/>
    </row>
    <row r="64" spans="2:17" x14ac:dyDescent="0.3">
      <c r="B64" s="226" t="s">
        <v>57</v>
      </c>
      <c r="C64" s="15" t="s">
        <v>229</v>
      </c>
      <c r="D64" s="227">
        <v>2014</v>
      </c>
      <c r="E64" s="228">
        <v>3</v>
      </c>
      <c r="F64" s="15">
        <v>0.35</v>
      </c>
      <c r="G64" s="229">
        <f>+E64*F64*8760</f>
        <v>9197.9999999999982</v>
      </c>
      <c r="H64" s="229"/>
      <c r="I64" s="229"/>
      <c r="J64" s="229"/>
      <c r="K64" s="229"/>
      <c r="L64" s="229"/>
      <c r="M64" s="229"/>
      <c r="N64" s="230">
        <f>+'Grid-EF'!$H$12</f>
        <v>0.41095107573123846</v>
      </c>
      <c r="O64" s="231">
        <f t="shared" ref="O64:O70" si="23">+N64*G64</f>
        <v>3779.9279945759304</v>
      </c>
      <c r="P64" s="231">
        <f>+O64</f>
        <v>3779.9279945759304</v>
      </c>
      <c r="Q64" s="134"/>
    </row>
    <row r="65" spans="2:20" x14ac:dyDescent="0.3">
      <c r="B65" s="226" t="s">
        <v>57</v>
      </c>
      <c r="C65" s="15" t="s">
        <v>248</v>
      </c>
      <c r="D65" s="227">
        <v>2016</v>
      </c>
      <c r="E65" s="228">
        <v>24</v>
      </c>
      <c r="F65" s="15">
        <v>0.35</v>
      </c>
      <c r="G65" s="229">
        <f t="shared" ref="G65:G70" si="24">+E65*F65*8760</f>
        <v>73583.999999999985</v>
      </c>
      <c r="H65" s="229"/>
      <c r="I65" s="229"/>
      <c r="J65" s="229"/>
      <c r="K65" s="229"/>
      <c r="L65" s="229"/>
      <c r="M65" s="229"/>
      <c r="N65" s="230">
        <f>+'Grid-EF'!$H$12</f>
        <v>0.41095107573123846</v>
      </c>
      <c r="O65" s="231">
        <f t="shared" si="23"/>
        <v>30239.423956607443</v>
      </c>
      <c r="P65" s="231">
        <f t="shared" ref="P65:P70" si="25">+O65</f>
        <v>30239.423956607443</v>
      </c>
      <c r="Q65" s="134"/>
      <c r="T65" s="1">
        <f>365*24</f>
        <v>8760</v>
      </c>
    </row>
    <row r="66" spans="2:20" x14ac:dyDescent="0.3">
      <c r="B66" s="226" t="s">
        <v>57</v>
      </c>
      <c r="C66" s="15" t="s">
        <v>25</v>
      </c>
      <c r="D66" s="227">
        <v>2020</v>
      </c>
      <c r="E66" s="228">
        <v>14.4</v>
      </c>
      <c r="F66" s="15">
        <v>0.35</v>
      </c>
      <c r="G66" s="229">
        <f t="shared" si="24"/>
        <v>44150.400000000001</v>
      </c>
      <c r="H66" s="229"/>
      <c r="I66" s="229"/>
      <c r="J66" s="229"/>
      <c r="K66" s="229"/>
      <c r="L66" s="229"/>
      <c r="M66" s="229"/>
      <c r="N66" s="230">
        <f>+'Grid-EF'!$H$12</f>
        <v>0.41095107573123846</v>
      </c>
      <c r="O66" s="231">
        <f t="shared" si="23"/>
        <v>18143.654373964469</v>
      </c>
      <c r="P66" s="231">
        <f t="shared" si="25"/>
        <v>18143.654373964469</v>
      </c>
      <c r="Q66" s="134"/>
    </row>
    <row r="67" spans="2:20" x14ac:dyDescent="0.3">
      <c r="B67" s="226" t="s">
        <v>57</v>
      </c>
      <c r="C67" s="15" t="s">
        <v>48</v>
      </c>
      <c r="D67" s="227">
        <v>2020</v>
      </c>
      <c r="E67" s="228">
        <v>39.6</v>
      </c>
      <c r="F67" s="15">
        <v>0.35</v>
      </c>
      <c r="G67" s="229">
        <f t="shared" si="24"/>
        <v>121413.59999999999</v>
      </c>
      <c r="H67" s="229"/>
      <c r="I67" s="229"/>
      <c r="J67" s="229"/>
      <c r="K67" s="229"/>
      <c r="L67" s="229"/>
      <c r="M67" s="229"/>
      <c r="N67" s="230">
        <f>+'Grid-EF'!$H$12</f>
        <v>0.41095107573123846</v>
      </c>
      <c r="O67" s="231">
        <f t="shared" si="23"/>
        <v>49895.049528402291</v>
      </c>
      <c r="P67" s="231">
        <f t="shared" si="25"/>
        <v>49895.049528402291</v>
      </c>
      <c r="Q67" s="134"/>
    </row>
    <row r="68" spans="2:20" x14ac:dyDescent="0.3">
      <c r="B68" s="226" t="s">
        <v>57</v>
      </c>
      <c r="C68" s="15" t="s">
        <v>49</v>
      </c>
      <c r="D68" s="227">
        <v>2020</v>
      </c>
      <c r="E68" s="228">
        <v>54</v>
      </c>
      <c r="F68" s="15">
        <v>0.35</v>
      </c>
      <c r="G68" s="229">
        <f t="shared" si="24"/>
        <v>165564</v>
      </c>
      <c r="H68" s="229"/>
      <c r="I68" s="229"/>
      <c r="J68" s="229"/>
      <c r="K68" s="229"/>
      <c r="L68" s="229"/>
      <c r="M68" s="229"/>
      <c r="N68" s="230">
        <f>+'Grid-EF'!$H$12</f>
        <v>0.41095107573123846</v>
      </c>
      <c r="O68" s="231">
        <f t="shared" si="23"/>
        <v>68038.70390236676</v>
      </c>
      <c r="P68" s="231">
        <f t="shared" si="25"/>
        <v>68038.70390236676</v>
      </c>
      <c r="Q68" s="134"/>
    </row>
    <row r="69" spans="2:20" x14ac:dyDescent="0.3">
      <c r="B69" s="226" t="s">
        <v>57</v>
      </c>
      <c r="C69" s="15" t="s">
        <v>52</v>
      </c>
      <c r="D69" s="227">
        <v>2021</v>
      </c>
      <c r="E69" s="228">
        <v>21</v>
      </c>
      <c r="F69" s="15">
        <v>0.35</v>
      </c>
      <c r="G69" s="229">
        <f t="shared" si="24"/>
        <v>64386</v>
      </c>
      <c r="H69" s="229"/>
      <c r="I69" s="229"/>
      <c r="J69" s="229"/>
      <c r="K69" s="229"/>
      <c r="L69" s="229"/>
      <c r="M69" s="229"/>
      <c r="N69" s="230">
        <f>+'Grid-EF'!$H$12</f>
        <v>0.41095107573123846</v>
      </c>
      <c r="O69" s="231">
        <f t="shared" si="23"/>
        <v>26459.49596203152</v>
      </c>
      <c r="P69" s="231">
        <f t="shared" si="25"/>
        <v>26459.49596203152</v>
      </c>
      <c r="Q69" s="134"/>
    </row>
    <row r="70" spans="2:20" x14ac:dyDescent="0.3">
      <c r="B70" s="226" t="s">
        <v>57</v>
      </c>
      <c r="C70" s="15" t="s">
        <v>53</v>
      </c>
      <c r="D70" s="227">
        <v>2021</v>
      </c>
      <c r="E70" s="228">
        <v>24</v>
      </c>
      <c r="F70" s="15">
        <v>0.35</v>
      </c>
      <c r="G70" s="229">
        <f t="shared" si="24"/>
        <v>73583.999999999985</v>
      </c>
      <c r="H70" s="229"/>
      <c r="I70" s="229"/>
      <c r="J70" s="229"/>
      <c r="K70" s="229"/>
      <c r="L70" s="229"/>
      <c r="M70" s="229"/>
      <c r="N70" s="230">
        <f>+'Grid-EF'!$H$12</f>
        <v>0.41095107573123846</v>
      </c>
      <c r="O70" s="231">
        <f t="shared" si="23"/>
        <v>30239.423956607443</v>
      </c>
      <c r="P70" s="231">
        <f t="shared" si="25"/>
        <v>30239.423956607443</v>
      </c>
      <c r="Q70" s="134"/>
    </row>
    <row r="71" spans="2:20" x14ac:dyDescent="0.3">
      <c r="D71" s="27"/>
      <c r="E71" s="3"/>
    </row>
    <row r="72" spans="2:20" x14ac:dyDescent="0.3">
      <c r="B72" s="244"/>
      <c r="C72" s="11" t="s">
        <v>10</v>
      </c>
      <c r="D72" s="235"/>
      <c r="E72" s="239">
        <f>SUM(E73:E76)</f>
        <v>165</v>
      </c>
      <c r="F72" s="236"/>
      <c r="G72" s="237"/>
      <c r="H72" s="237"/>
      <c r="I72" s="237"/>
      <c r="J72" s="237"/>
      <c r="K72" s="237"/>
      <c r="L72" s="237"/>
      <c r="M72" s="237"/>
      <c r="N72" s="236"/>
      <c r="O72" s="237"/>
      <c r="P72" s="236"/>
      <c r="Q72" s="238"/>
    </row>
    <row r="73" spans="2:20" x14ac:dyDescent="0.3">
      <c r="B73" s="226" t="s">
        <v>57</v>
      </c>
      <c r="C73" s="15" t="s">
        <v>11</v>
      </c>
      <c r="D73" s="227">
        <v>2018</v>
      </c>
      <c r="E73" s="228">
        <v>5</v>
      </c>
      <c r="F73" s="15">
        <v>0.24</v>
      </c>
      <c r="G73" s="229">
        <f t="shared" ref="G73:G75" si="26">+E73*F73*8760</f>
        <v>10512</v>
      </c>
      <c r="H73" s="229"/>
      <c r="I73" s="229"/>
      <c r="J73" s="229"/>
      <c r="K73" s="229"/>
      <c r="L73" s="229"/>
      <c r="M73" s="229"/>
      <c r="N73" s="230">
        <f>+'Grid-EF'!$H$12</f>
        <v>0.41095107573123846</v>
      </c>
      <c r="O73" s="231">
        <f>+N73*G73</f>
        <v>4319.9177080867785</v>
      </c>
      <c r="P73" s="231">
        <f>+O73</f>
        <v>4319.9177080867785</v>
      </c>
      <c r="Q73" s="134"/>
    </row>
    <row r="74" spans="2:20" x14ac:dyDescent="0.3">
      <c r="B74" s="226" t="s">
        <v>57</v>
      </c>
      <c r="C74" s="15" t="s">
        <v>44</v>
      </c>
      <c r="D74" s="227">
        <v>2018</v>
      </c>
      <c r="E74" s="228">
        <v>60</v>
      </c>
      <c r="F74" s="15">
        <v>0.24</v>
      </c>
      <c r="G74" s="229">
        <f t="shared" si="26"/>
        <v>126143.99999999999</v>
      </c>
      <c r="H74" s="229"/>
      <c r="I74" s="229"/>
      <c r="J74" s="229"/>
      <c r="K74" s="229"/>
      <c r="L74" s="229"/>
      <c r="M74" s="229"/>
      <c r="N74" s="230">
        <f>+'Grid-EF'!$H$12</f>
        <v>0.41095107573123846</v>
      </c>
      <c r="O74" s="231">
        <f>+N74*G74</f>
        <v>51839.012497041338</v>
      </c>
      <c r="P74" s="231">
        <f t="shared" ref="P74:P76" si="27">+O74</f>
        <v>51839.012497041338</v>
      </c>
      <c r="Q74" s="134"/>
    </row>
    <row r="75" spans="2:20" x14ac:dyDescent="0.3">
      <c r="B75" s="226" t="s">
        <v>57</v>
      </c>
      <c r="C75" s="15" t="s">
        <v>234</v>
      </c>
      <c r="D75" s="227">
        <v>2019</v>
      </c>
      <c r="E75" s="228">
        <v>50</v>
      </c>
      <c r="F75" s="15">
        <v>0.24</v>
      </c>
      <c r="G75" s="229">
        <f t="shared" si="26"/>
        <v>105120</v>
      </c>
      <c r="H75" s="229"/>
      <c r="I75" s="229"/>
      <c r="J75" s="229"/>
      <c r="K75" s="229"/>
      <c r="L75" s="229"/>
      <c r="M75" s="229"/>
      <c r="N75" s="230">
        <f>+'Grid-EF'!$H$12</f>
        <v>0.41095107573123846</v>
      </c>
      <c r="O75" s="231">
        <f>+N75*G75</f>
        <v>43199.17708086779</v>
      </c>
      <c r="P75" s="231">
        <f t="shared" si="27"/>
        <v>43199.17708086779</v>
      </c>
      <c r="Q75" s="134"/>
    </row>
    <row r="76" spans="2:20" x14ac:dyDescent="0.3">
      <c r="B76" s="226" t="s">
        <v>57</v>
      </c>
      <c r="C76" s="15" t="s">
        <v>233</v>
      </c>
      <c r="D76" s="227" t="s">
        <v>249</v>
      </c>
      <c r="E76" s="228">
        <v>50</v>
      </c>
      <c r="F76" s="15">
        <v>0.24</v>
      </c>
      <c r="G76" s="229">
        <f>+E76*F76*8760</f>
        <v>105120</v>
      </c>
      <c r="H76" s="229"/>
      <c r="I76" s="229"/>
      <c r="J76" s="229"/>
      <c r="K76" s="229"/>
      <c r="L76" s="229"/>
      <c r="M76" s="229"/>
      <c r="N76" s="230">
        <f>+'Grid-EF'!$H$12</f>
        <v>0.41095107573123846</v>
      </c>
      <c r="O76" s="231">
        <f>+N76*G76</f>
        <v>43199.17708086779</v>
      </c>
      <c r="P76" s="231">
        <f t="shared" si="27"/>
        <v>43199.17708086779</v>
      </c>
      <c r="Q76" s="134"/>
    </row>
    <row r="77" spans="2:20" x14ac:dyDescent="0.3">
      <c r="D77" s="27"/>
      <c r="E77" s="3"/>
    </row>
    <row r="78" spans="2:20" x14ac:dyDescent="0.3">
      <c r="B78" s="234"/>
      <c r="C78" s="11" t="s">
        <v>50</v>
      </c>
      <c r="D78" s="235"/>
      <c r="E78" s="239">
        <f>SUM(E79:E80)</f>
        <v>105</v>
      </c>
      <c r="F78" s="236"/>
      <c r="G78" s="237"/>
      <c r="H78" s="237"/>
      <c r="I78" s="237"/>
      <c r="J78" s="237"/>
      <c r="K78" s="237"/>
      <c r="L78" s="237"/>
      <c r="M78" s="237"/>
      <c r="N78" s="236"/>
      <c r="O78" s="237"/>
      <c r="P78" s="236"/>
      <c r="Q78" s="238"/>
    </row>
    <row r="79" spans="2:20" ht="28.8" x14ac:dyDescent="0.3">
      <c r="B79" s="245" t="s">
        <v>57</v>
      </c>
      <c r="C79" s="246" t="s">
        <v>231</v>
      </c>
      <c r="D79" s="247">
        <v>2020</v>
      </c>
      <c r="E79" s="248">
        <v>5</v>
      </c>
      <c r="F79" s="246">
        <v>0.85</v>
      </c>
      <c r="G79" s="249">
        <f>+E79*F79*8760</f>
        <v>37230</v>
      </c>
      <c r="H79" s="249"/>
      <c r="I79" s="249"/>
      <c r="J79" s="249"/>
      <c r="K79" s="249"/>
      <c r="L79" s="249"/>
      <c r="M79" s="249"/>
      <c r="N79" s="250">
        <f>+'Grid-EF'!$H$13</f>
        <v>0.45819421742177691</v>
      </c>
      <c r="O79" s="251">
        <f>+N79*G79</f>
        <v>17058.570714612753</v>
      </c>
      <c r="P79" s="251">
        <f>+O79</f>
        <v>17058.570714612753</v>
      </c>
      <c r="Q79" s="252" t="s">
        <v>295</v>
      </c>
    </row>
    <row r="80" spans="2:20" x14ac:dyDescent="0.3">
      <c r="B80" s="226" t="s">
        <v>57</v>
      </c>
      <c r="C80" s="15" t="s">
        <v>232</v>
      </c>
      <c r="D80" s="227">
        <v>2023</v>
      </c>
      <c r="E80" s="228">
        <v>100</v>
      </c>
      <c r="F80" s="15">
        <v>0.85</v>
      </c>
      <c r="G80" s="229">
        <f>+E80*F80*8760</f>
        <v>744600</v>
      </c>
      <c r="H80" s="229"/>
      <c r="I80" s="229"/>
      <c r="J80" s="229"/>
      <c r="K80" s="229"/>
      <c r="L80" s="229"/>
      <c r="M80" s="229"/>
      <c r="N80" s="230">
        <f>+'Grid-EF'!$H$13</f>
        <v>0.45819421742177691</v>
      </c>
      <c r="O80" s="231">
        <f>+N80*G80</f>
        <v>341171.41429225507</v>
      </c>
      <c r="P80" s="251">
        <f>+O80</f>
        <v>341171.41429225507</v>
      </c>
      <c r="Q80" s="233" t="s">
        <v>280</v>
      </c>
    </row>
    <row r="81" spans="4:15" x14ac:dyDescent="0.3">
      <c r="D81" s="27"/>
      <c r="E81" s="3"/>
    </row>
    <row r="95" spans="4:15" x14ac:dyDescent="0.3">
      <c r="D95" s="27"/>
      <c r="E95" s="3"/>
      <c r="F95" s="149"/>
      <c r="G95" s="114"/>
      <c r="H95" s="114"/>
      <c r="I95" s="114"/>
      <c r="J95" s="114"/>
      <c r="K95" s="114"/>
      <c r="L95" s="114"/>
      <c r="M95" s="114"/>
      <c r="N95" s="148"/>
      <c r="O95" s="26"/>
    </row>
    <row r="98" spans="2:16" x14ac:dyDescent="0.3">
      <c r="P98" s="114"/>
    </row>
    <row r="100" spans="2:16" x14ac:dyDescent="0.3">
      <c r="D100" s="27"/>
      <c r="E100" s="3"/>
      <c r="F100" s="149"/>
      <c r="G100" s="114"/>
      <c r="H100" s="114"/>
      <c r="I100" s="114"/>
      <c r="J100" s="114"/>
      <c r="K100" s="114"/>
      <c r="L100" s="114"/>
      <c r="M100" s="114"/>
      <c r="N100" s="148"/>
      <c r="O100" s="26"/>
    </row>
    <row r="101" spans="2:16" x14ac:dyDescent="0.3">
      <c r="D101" s="27"/>
      <c r="E101" s="3"/>
    </row>
    <row r="102" spans="2:16" x14ac:dyDescent="0.3">
      <c r="D102" s="27"/>
      <c r="E102" s="3"/>
      <c r="G102" s="114"/>
      <c r="H102" s="114"/>
      <c r="I102" s="114"/>
      <c r="J102" s="114"/>
      <c r="K102" s="114"/>
      <c r="L102" s="114"/>
      <c r="M102" s="114"/>
      <c r="O102" s="114"/>
    </row>
    <row r="103" spans="2:16" x14ac:dyDescent="0.3">
      <c r="B103" s="27"/>
      <c r="D103" s="27"/>
      <c r="E103" s="3"/>
      <c r="G103" s="114"/>
      <c r="H103" s="114"/>
      <c r="I103" s="114"/>
      <c r="J103" s="114"/>
      <c r="K103" s="114"/>
      <c r="L103" s="114"/>
      <c r="M103" s="114"/>
      <c r="N103" s="148"/>
      <c r="O103" s="26"/>
    </row>
    <row r="104" spans="2:16" x14ac:dyDescent="0.3">
      <c r="B104" s="27"/>
      <c r="D104" s="27"/>
      <c r="E104" s="3"/>
      <c r="G104" s="114"/>
      <c r="H104" s="114"/>
      <c r="I104" s="114"/>
      <c r="J104" s="114"/>
      <c r="K104" s="114"/>
      <c r="L104" s="114"/>
      <c r="M104" s="114"/>
      <c r="N104" s="148"/>
      <c r="O104" s="26"/>
    </row>
    <row r="105" spans="2:16" x14ac:dyDescent="0.3">
      <c r="B105" s="27"/>
      <c r="D105" s="27"/>
      <c r="E105" s="3"/>
      <c r="G105" s="114"/>
      <c r="H105" s="114"/>
      <c r="I105" s="114"/>
      <c r="J105" s="114"/>
      <c r="K105" s="114"/>
      <c r="L105" s="114"/>
      <c r="M105" s="114"/>
      <c r="N105" s="148"/>
      <c r="O105" s="26"/>
    </row>
    <row r="106" spans="2:16" x14ac:dyDescent="0.3">
      <c r="B106" s="27"/>
      <c r="D106" s="27"/>
      <c r="E106" s="3"/>
      <c r="G106" s="114"/>
      <c r="H106" s="114"/>
      <c r="I106" s="114"/>
      <c r="J106" s="114"/>
      <c r="K106" s="114"/>
      <c r="L106" s="114"/>
      <c r="M106" s="114"/>
      <c r="N106" s="148"/>
      <c r="O106" s="26"/>
    </row>
    <row r="107" spans="2:16" x14ac:dyDescent="0.3">
      <c r="B107" s="27"/>
      <c r="D107" s="27"/>
      <c r="E107" s="3"/>
      <c r="G107" s="114"/>
      <c r="H107" s="114"/>
      <c r="I107" s="114"/>
      <c r="J107" s="114"/>
      <c r="K107" s="114"/>
      <c r="L107" s="114"/>
      <c r="M107" s="114"/>
      <c r="N107" s="148"/>
      <c r="O107" s="26"/>
    </row>
    <row r="108" spans="2:16" x14ac:dyDescent="0.3">
      <c r="B108" s="27"/>
      <c r="D108" s="27"/>
      <c r="E108" s="3"/>
      <c r="G108" s="114"/>
      <c r="H108" s="114"/>
      <c r="I108" s="114"/>
      <c r="J108" s="114"/>
      <c r="K108" s="114"/>
      <c r="L108" s="114"/>
      <c r="M108" s="114"/>
      <c r="N108" s="148"/>
      <c r="O108" s="26"/>
    </row>
    <row r="109" spans="2:16" x14ac:dyDescent="0.3">
      <c r="B109" s="27"/>
      <c r="D109" s="27"/>
      <c r="E109" s="3"/>
      <c r="G109" s="114"/>
      <c r="H109" s="114"/>
      <c r="I109" s="114"/>
      <c r="J109" s="114"/>
      <c r="K109" s="114"/>
      <c r="L109" s="114"/>
      <c r="M109" s="114"/>
      <c r="N109" s="148"/>
      <c r="O109" s="26"/>
    </row>
    <row r="110" spans="2:16" x14ac:dyDescent="0.3">
      <c r="D110" s="27"/>
      <c r="E110" s="3"/>
    </row>
    <row r="111" spans="2:16" x14ac:dyDescent="0.3">
      <c r="D111" s="27"/>
      <c r="E111" s="3"/>
      <c r="G111" s="114"/>
      <c r="H111" s="114"/>
      <c r="I111" s="114"/>
      <c r="J111" s="114"/>
      <c r="K111" s="114"/>
      <c r="L111" s="114"/>
      <c r="M111" s="114"/>
      <c r="N111" s="148"/>
      <c r="O111" s="114"/>
    </row>
    <row r="112" spans="2:16" x14ac:dyDescent="0.3">
      <c r="B112" s="27"/>
      <c r="D112" s="27"/>
      <c r="E112" s="3"/>
      <c r="N112" s="148"/>
    </row>
    <row r="113" spans="2:14" x14ac:dyDescent="0.3">
      <c r="B113" s="27"/>
      <c r="D113" s="27"/>
      <c r="E113" s="3"/>
      <c r="N113" s="148"/>
    </row>
    <row r="114" spans="2:14" x14ac:dyDescent="0.3">
      <c r="B114" s="27"/>
      <c r="D114" s="27"/>
      <c r="E114" s="3"/>
      <c r="N114" s="148"/>
    </row>
    <row r="115" spans="2:14" x14ac:dyDescent="0.3">
      <c r="B115" s="27"/>
      <c r="D115" s="27"/>
      <c r="E115" s="3"/>
      <c r="N115" s="148"/>
    </row>
    <row r="116" spans="2:14" x14ac:dyDescent="0.3">
      <c r="B116" s="27"/>
      <c r="D116" s="27"/>
      <c r="E116" s="3"/>
      <c r="N116" s="148"/>
    </row>
    <row r="117" spans="2:14" x14ac:dyDescent="0.3">
      <c r="B117" s="27"/>
      <c r="D117" s="27"/>
      <c r="E117" s="3"/>
      <c r="N117" s="148"/>
    </row>
    <row r="118" spans="2:14" x14ac:dyDescent="0.3">
      <c r="B118" s="27"/>
      <c r="D118" s="27"/>
      <c r="E118" s="3"/>
      <c r="N118" s="148"/>
    </row>
    <row r="119" spans="2:14" x14ac:dyDescent="0.3">
      <c r="B119" s="27"/>
      <c r="D119" s="27"/>
      <c r="E119" s="3"/>
    </row>
    <row r="120" spans="2:14" x14ac:dyDescent="0.3">
      <c r="D120" s="27"/>
      <c r="E120" s="3"/>
    </row>
    <row r="121" spans="2:14" x14ac:dyDescent="0.3">
      <c r="D121" s="27"/>
      <c r="E121" s="3"/>
    </row>
    <row r="122" spans="2:14" x14ac:dyDescent="0.3">
      <c r="D122" s="27"/>
      <c r="E122" s="3"/>
    </row>
    <row r="123" spans="2:14" x14ac:dyDescent="0.3">
      <c r="D123" s="27"/>
      <c r="E123" s="3"/>
    </row>
    <row r="124" spans="2:14" x14ac:dyDescent="0.3">
      <c r="D124" s="27"/>
      <c r="E124" s="3"/>
    </row>
    <row r="125" spans="2:14" x14ac:dyDescent="0.3">
      <c r="D125" s="27"/>
      <c r="E125" s="3"/>
    </row>
    <row r="126" spans="2:14" x14ac:dyDescent="0.3">
      <c r="D126" s="27"/>
      <c r="E126" s="3"/>
    </row>
    <row r="127" spans="2:14" x14ac:dyDescent="0.3">
      <c r="D127" s="27"/>
      <c r="E127" s="3"/>
    </row>
    <row r="128" spans="2:14" x14ac:dyDescent="0.3">
      <c r="D128" s="27"/>
      <c r="E128" s="3"/>
    </row>
    <row r="129" spans="4:5" x14ac:dyDescent="0.3">
      <c r="D129" s="27"/>
      <c r="E129" s="3"/>
    </row>
    <row r="130" spans="4:5" x14ac:dyDescent="0.3">
      <c r="D130" s="27"/>
      <c r="E130" s="3"/>
    </row>
    <row r="131" spans="4:5" x14ac:dyDescent="0.3">
      <c r="E131" s="3"/>
    </row>
    <row r="132" spans="4:5" x14ac:dyDescent="0.3">
      <c r="E132" s="3"/>
    </row>
    <row r="133" spans="4:5" x14ac:dyDescent="0.3">
      <c r="E133" s="3"/>
    </row>
    <row r="134" spans="4:5" x14ac:dyDescent="0.3">
      <c r="E134" s="3"/>
    </row>
  </sheetData>
  <pageMargins left="0.7" right="0.7" top="0.75" bottom="0.75" header="0.3" footer="0.3"/>
  <pageSetup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3:AG40"/>
  <sheetViews>
    <sheetView workbookViewId="0">
      <selection activeCell="A6" sqref="A1:A6"/>
    </sheetView>
  </sheetViews>
  <sheetFormatPr baseColWidth="10" defaultColWidth="9.109375" defaultRowHeight="14.4" x14ac:dyDescent="0.3"/>
  <cols>
    <col min="1" max="1" width="9.109375" style="1"/>
    <col min="2" max="2" width="37.109375" style="1" customWidth="1"/>
    <col min="3" max="3" width="12.44140625" style="1" customWidth="1"/>
    <col min="4" max="4" width="8.44140625" style="1" bestFit="1" customWidth="1"/>
    <col min="5" max="5" width="14.44140625" style="1" bestFit="1" customWidth="1"/>
    <col min="6" max="6" width="15.6640625" style="1" bestFit="1" customWidth="1"/>
    <col min="7" max="7" width="13.5546875" style="1" customWidth="1"/>
    <col min="8" max="8" width="12.5546875" style="1" customWidth="1"/>
    <col min="9" max="9" width="10.88671875" style="1" customWidth="1"/>
    <col min="10" max="10" width="13.6640625" style="1" bestFit="1" customWidth="1"/>
    <col min="11" max="11" width="12.5546875" style="1" bestFit="1" customWidth="1"/>
    <col min="12" max="12" width="13.6640625" style="1" bestFit="1" customWidth="1"/>
    <col min="13" max="13" width="12.5546875" style="1" bestFit="1" customWidth="1"/>
    <col min="14" max="14" width="13.6640625" style="1" bestFit="1" customWidth="1"/>
    <col min="15" max="15" width="12.5546875" style="1" bestFit="1" customWidth="1"/>
    <col min="16" max="16" width="14.5546875" style="1" bestFit="1" customWidth="1"/>
    <col min="17" max="17" width="19.109375" style="1" bestFit="1" customWidth="1"/>
    <col min="18" max="18" width="16" style="1" customWidth="1"/>
    <col min="19" max="19" width="9.109375" style="1" bestFit="1" customWidth="1"/>
    <col min="20" max="20" width="10.44140625" style="1" customWidth="1"/>
    <col min="21" max="21" width="8.44140625" style="1" bestFit="1" customWidth="1"/>
    <col min="22" max="22" width="14.44140625" style="1" customWidth="1"/>
    <col min="23" max="23" width="10.6640625" style="1" bestFit="1" customWidth="1"/>
    <col min="24" max="24" width="9.5546875" style="1" bestFit="1" customWidth="1"/>
    <col min="25" max="25" width="15.33203125" style="1" customWidth="1"/>
    <col min="26" max="26" width="15.33203125" style="1" bestFit="1" customWidth="1"/>
    <col min="27" max="27" width="12.5546875" style="1" bestFit="1" customWidth="1"/>
    <col min="28" max="28" width="13" style="1" customWidth="1"/>
    <col min="29" max="29" width="12.5546875" style="1" bestFit="1" customWidth="1"/>
    <col min="30" max="30" width="16.109375" style="1" customWidth="1"/>
    <col min="31" max="31" width="12.5546875" style="1" customWidth="1"/>
    <col min="32" max="32" width="10.44140625" style="1" bestFit="1" customWidth="1"/>
    <col min="33" max="33" width="15.5546875" style="1" customWidth="1"/>
    <col min="34" max="16384" width="9.109375" style="1"/>
  </cols>
  <sheetData>
    <row r="3" spans="2:33" ht="23.4" x14ac:dyDescent="0.45">
      <c r="B3" s="323" t="s">
        <v>528</v>
      </c>
    </row>
    <row r="7" spans="2:33" x14ac:dyDescent="0.3">
      <c r="C7" s="86" t="s">
        <v>273</v>
      </c>
      <c r="D7" s="514"/>
      <c r="E7" s="514"/>
      <c r="F7" s="174"/>
    </row>
    <row r="8" spans="2:33" x14ac:dyDescent="0.3">
      <c r="C8" s="512" t="s">
        <v>115</v>
      </c>
      <c r="D8" s="416"/>
      <c r="E8" s="416"/>
      <c r="F8" s="492">
        <v>3412.14</v>
      </c>
    </row>
    <row r="9" spans="2:33" x14ac:dyDescent="0.3">
      <c r="C9" s="512" t="s">
        <v>283</v>
      </c>
      <c r="D9" s="416"/>
      <c r="E9" s="416"/>
      <c r="F9" s="492">
        <v>947817</v>
      </c>
    </row>
    <row r="10" spans="2:33" ht="15.6" x14ac:dyDescent="0.3">
      <c r="C10" s="512" t="s">
        <v>272</v>
      </c>
      <c r="D10" s="416"/>
      <c r="E10" s="416"/>
      <c r="F10" s="491">
        <v>5.6099999999999997E-2</v>
      </c>
    </row>
    <row r="11" spans="2:33" x14ac:dyDescent="0.3">
      <c r="C11" s="512" t="s">
        <v>116</v>
      </c>
      <c r="D11" s="416"/>
      <c r="E11" s="416"/>
      <c r="F11" s="175">
        <v>3.6</v>
      </c>
    </row>
    <row r="12" spans="2:33" ht="15.6" x14ac:dyDescent="0.3">
      <c r="C12" s="513" t="s">
        <v>285</v>
      </c>
      <c r="D12" s="515"/>
      <c r="E12" s="515"/>
      <c r="F12" s="493">
        <v>2.9</v>
      </c>
    </row>
    <row r="15" spans="2:33" ht="60" x14ac:dyDescent="0.3">
      <c r="B15" s="499" t="s">
        <v>230</v>
      </c>
      <c r="C15" s="496" t="s">
        <v>495</v>
      </c>
      <c r="D15" s="496" t="s">
        <v>493</v>
      </c>
      <c r="E15" s="496" t="s">
        <v>492</v>
      </c>
      <c r="F15" s="496" t="s">
        <v>501</v>
      </c>
      <c r="G15" s="497" t="s">
        <v>519</v>
      </c>
      <c r="H15" s="497" t="s">
        <v>520</v>
      </c>
      <c r="I15" s="497" t="s">
        <v>497</v>
      </c>
      <c r="J15" s="496" t="s">
        <v>498</v>
      </c>
      <c r="K15" s="497" t="s">
        <v>505</v>
      </c>
      <c r="L15" s="497" t="s">
        <v>506</v>
      </c>
      <c r="M15" s="497" t="s">
        <v>507</v>
      </c>
      <c r="N15" s="497" t="s">
        <v>510</v>
      </c>
      <c r="O15" s="497" t="s">
        <v>508</v>
      </c>
      <c r="P15" s="497" t="s">
        <v>509</v>
      </c>
      <c r="Q15" s="497" t="s">
        <v>502</v>
      </c>
      <c r="R15" s="497" t="s">
        <v>500</v>
      </c>
      <c r="S15" s="496" t="s">
        <v>496</v>
      </c>
      <c r="T15" s="496" t="s">
        <v>491</v>
      </c>
      <c r="U15" s="496" t="s">
        <v>247</v>
      </c>
      <c r="V15" s="496" t="s">
        <v>499</v>
      </c>
      <c r="W15" s="496" t="s">
        <v>169</v>
      </c>
      <c r="X15" s="496" t="s">
        <v>170</v>
      </c>
      <c r="Y15" s="497" t="s">
        <v>503</v>
      </c>
      <c r="Z15" s="496" t="s">
        <v>504</v>
      </c>
      <c r="AA15" s="497" t="s">
        <v>515</v>
      </c>
      <c r="AB15" s="497" t="s">
        <v>511</v>
      </c>
      <c r="AC15" s="497" t="s">
        <v>512</v>
      </c>
      <c r="AD15" s="498" t="s">
        <v>513</v>
      </c>
      <c r="AE15" s="497" t="s">
        <v>514</v>
      </c>
      <c r="AF15" s="497" t="s">
        <v>516</v>
      </c>
      <c r="AG15" s="497" t="s">
        <v>517</v>
      </c>
    </row>
    <row r="16" spans="2:33" x14ac:dyDescent="0.3">
      <c r="B16" s="597" t="s">
        <v>494</v>
      </c>
      <c r="C16" s="241"/>
      <c r="D16" s="12"/>
      <c r="E16" s="12"/>
      <c r="F16" s="60">
        <f>+F17+F18</f>
        <v>763346.4</v>
      </c>
      <c r="G16" s="60">
        <f>+G17+G18</f>
        <v>539503</v>
      </c>
      <c r="H16" s="60">
        <f>+H17+H18</f>
        <v>640699.33586597606</v>
      </c>
      <c r="I16" s="60">
        <f>+I17+I18</f>
        <v>605633.36271849007</v>
      </c>
      <c r="J16" s="60">
        <f>+AVERAGE(G16:I16)</f>
        <v>595278.56619482208</v>
      </c>
      <c r="K16" s="12"/>
      <c r="L16" s="60">
        <f>+L17+L18</f>
        <v>5348017.1341092214</v>
      </c>
      <c r="M16" s="12"/>
      <c r="N16" s="60">
        <f>+N17+N18</f>
        <v>6395487.8520861492</v>
      </c>
      <c r="O16" s="12"/>
      <c r="P16" s="60">
        <f>+P17+P18</f>
        <v>5986933.0918790679</v>
      </c>
      <c r="Q16" s="507">
        <f>+(OM_EF_2017!G69*OM_EF_2017!C69+OM_EF_2017!G70*OM_EF_2017!C70)/(OM_EF_2017!C69+OM_EF_2017!C70)</f>
        <v>0.55457160263816607</v>
      </c>
      <c r="R16" s="494">
        <f>+'Grid-EF'!$H$13</f>
        <v>0.45819421742177691</v>
      </c>
      <c r="S16" s="112" t="str">
        <f>+B16</f>
        <v>CCSUR10</v>
      </c>
      <c r="T16" s="501">
        <v>132.69999999999999</v>
      </c>
      <c r="U16" s="501">
        <v>0.7</v>
      </c>
      <c r="V16" s="49">
        <f>+T16*8760*U16</f>
        <v>813716.39999999991</v>
      </c>
      <c r="W16" s="258">
        <v>6449</v>
      </c>
      <c r="X16" s="59">
        <f>1/(W16/$F$8)</f>
        <v>0.52909598387346879</v>
      </c>
      <c r="Y16" s="59">
        <f>+$F$10*$F$11/X16</f>
        <v>0.38170767905185599</v>
      </c>
      <c r="Z16" s="509">
        <f>+Y16*V16</f>
        <v>310601.79845043161</v>
      </c>
      <c r="AA16" s="195">
        <f>+J16*Q16+(F16-J16)*MIN(Q16,R16)+(V16-F16)*R16</f>
        <v>430211.54078648379</v>
      </c>
      <c r="AB16" s="49">
        <f>+W16*V16*1000/$F$9</f>
        <v>5536572.0002911948</v>
      </c>
      <c r="AC16" s="415" t="str">
        <f>+IF(AB16&gt;MIN(L16,N16,P16),"Yes","No")</f>
        <v>Yes</v>
      </c>
      <c r="AD16" s="49">
        <f>+(L16+N16+P16)/3</f>
        <v>5910146.0260248138</v>
      </c>
      <c r="AE16" s="49">
        <f>+AB16*$F$12/1000*(1-AD16/AB16)</f>
        <v>-1083.3646746274942</v>
      </c>
      <c r="AF16" s="60">
        <f>IF(AC16="Yes",MAX(0,AE16),0)</f>
        <v>0</v>
      </c>
      <c r="AG16" s="200">
        <f>+AA16-Z16-AF16</f>
        <v>119609.74233605218</v>
      </c>
    </row>
    <row r="17" spans="2:33" x14ac:dyDescent="0.3">
      <c r="B17" s="598"/>
      <c r="C17" s="508" t="s">
        <v>327</v>
      </c>
      <c r="D17" s="501">
        <v>43.83</v>
      </c>
      <c r="E17" s="49">
        <v>8760</v>
      </c>
      <c r="F17" s="49">
        <f>+E17*D17</f>
        <v>383950.8</v>
      </c>
      <c r="G17" s="505">
        <f>+OM_EF_2015!C69</f>
        <v>283458</v>
      </c>
      <c r="H17" s="505">
        <f>+OM_EF_2016!C70</f>
        <v>327520.80560572003</v>
      </c>
      <c r="I17" s="505">
        <f>+OM_EF_2017!$C$69</f>
        <v>321801.02243377001</v>
      </c>
      <c r="J17" s="500"/>
      <c r="K17" s="506">
        <f>+OM_EF_2015!E69</f>
        <v>9397</v>
      </c>
      <c r="L17" s="60">
        <f>+K17*G17*1000/$F$9</f>
        <v>2810304.9702632469</v>
      </c>
      <c r="M17" s="506">
        <f>+OM_EF_2016!E70</f>
        <v>9424</v>
      </c>
      <c r="N17" s="60">
        <f>+M17*H17*1000/$F$9</f>
        <v>3256489.4616031423</v>
      </c>
      <c r="O17" s="506">
        <f>+OM_EF_2017!E69</f>
        <v>9348</v>
      </c>
      <c r="P17" s="60">
        <f>+O17*I17*1000/$F$9</f>
        <v>3173815.1538861217</v>
      </c>
      <c r="Q17" s="9"/>
      <c r="R17" s="9"/>
      <c r="S17" s="9"/>
      <c r="T17" s="9"/>
      <c r="U17" s="9"/>
      <c r="V17" s="9"/>
      <c r="W17" s="9"/>
      <c r="X17" s="9"/>
      <c r="Y17" s="9"/>
      <c r="Z17" s="9"/>
      <c r="AA17" s="9"/>
      <c r="AB17" s="9"/>
      <c r="AC17" s="9"/>
      <c r="AD17" s="9"/>
      <c r="AE17" s="9"/>
      <c r="AF17" s="9"/>
      <c r="AG17" s="24"/>
    </row>
    <row r="18" spans="2:33" x14ac:dyDescent="0.3">
      <c r="B18" s="599"/>
      <c r="C18" s="508" t="s">
        <v>328</v>
      </c>
      <c r="D18" s="501">
        <v>43.31</v>
      </c>
      <c r="E18" s="49">
        <v>8760</v>
      </c>
      <c r="F18" s="49">
        <f>+E18*D18</f>
        <v>379395.60000000003</v>
      </c>
      <c r="G18" s="505">
        <f>+OM_EF_2015!C70</f>
        <v>256045</v>
      </c>
      <c r="H18" s="505">
        <f>+OM_EF_2016!C71</f>
        <v>313178.53026025603</v>
      </c>
      <c r="I18" s="505">
        <f>+OM_EF_2017!$C$70</f>
        <v>283832.34028472006</v>
      </c>
      <c r="J18" s="21"/>
      <c r="K18" s="506">
        <f>+OM_EF_2017!E70</f>
        <v>9394</v>
      </c>
      <c r="L18" s="60">
        <f>+K18*G18*1000/$F$9</f>
        <v>2537712.1638459745</v>
      </c>
      <c r="M18" s="506">
        <f>+OM_EF_2016!E71</f>
        <v>9500</v>
      </c>
      <c r="N18" s="60">
        <f>+M18*H18*1000/$F$9</f>
        <v>3138998.3904830068</v>
      </c>
      <c r="O18" s="506">
        <f>+OM_EF_2017!E70</f>
        <v>9394</v>
      </c>
      <c r="P18" s="60">
        <f>+O18*I18*1000/$F$9</f>
        <v>2813117.9379929462</v>
      </c>
      <c r="Q18" s="10"/>
      <c r="R18" s="10"/>
      <c r="S18" s="10"/>
      <c r="T18" s="10"/>
      <c r="U18" s="10"/>
      <c r="V18" s="10"/>
      <c r="W18" s="10"/>
      <c r="X18" s="10"/>
      <c r="Y18" s="10"/>
      <c r="Z18" s="10"/>
      <c r="AA18" s="10"/>
      <c r="AB18" s="10"/>
      <c r="AC18" s="10"/>
      <c r="AD18" s="10"/>
      <c r="AE18" s="10"/>
      <c r="AF18" s="10"/>
      <c r="AG18" s="25"/>
    </row>
    <row r="19" spans="2:33" x14ac:dyDescent="0.3">
      <c r="B19" s="502"/>
      <c r="C19" s="503"/>
      <c r="D19" s="12"/>
      <c r="E19" s="229"/>
      <c r="F19" s="229"/>
      <c r="G19" s="504"/>
      <c r="H19" s="504"/>
      <c r="I19" s="504"/>
      <c r="J19" s="15"/>
      <c r="K19" s="231"/>
      <c r="L19" s="231"/>
      <c r="M19" s="231"/>
      <c r="N19" s="231"/>
      <c r="O19" s="231"/>
      <c r="P19" s="231"/>
      <c r="Q19" s="15"/>
      <c r="R19" s="10"/>
      <c r="S19" s="10"/>
      <c r="T19" s="10"/>
      <c r="U19" s="10"/>
      <c r="V19" s="10"/>
      <c r="W19" s="10"/>
      <c r="X19" s="10"/>
      <c r="Y19" s="10"/>
      <c r="Z19" s="10"/>
      <c r="AA19" s="10"/>
      <c r="AB19" s="10"/>
      <c r="AC19" s="10"/>
      <c r="AD19" s="10"/>
      <c r="AE19" s="10"/>
      <c r="AF19" s="10"/>
      <c r="AG19" s="25"/>
    </row>
    <row r="20" spans="2:33" x14ac:dyDescent="0.3">
      <c r="B20" s="597" t="s">
        <v>518</v>
      </c>
      <c r="C20" s="241"/>
      <c r="D20" s="12"/>
      <c r="E20" s="12"/>
      <c r="F20" s="60">
        <f>+F21+F22</f>
        <v>772807.2</v>
      </c>
      <c r="G20" s="60">
        <f>+G21+G22</f>
        <v>564881</v>
      </c>
      <c r="H20" s="60">
        <f>+H21+H22</f>
        <v>639988.48215008865</v>
      </c>
      <c r="I20" s="60">
        <f>+I21+I22</f>
        <v>661338.21767871</v>
      </c>
      <c r="J20" s="60">
        <f>+AVERAGE(G20:I20)</f>
        <v>622069.23327626614</v>
      </c>
      <c r="K20" s="12"/>
      <c r="L20" s="60">
        <f>+L21+L22</f>
        <v>5573336.8065776415</v>
      </c>
      <c r="M20" s="12"/>
      <c r="N20" s="60">
        <f>+N21+N22</f>
        <v>6359069.4829529002</v>
      </c>
      <c r="O20" s="12"/>
      <c r="P20" s="60">
        <f>+P21+P22</f>
        <v>6489734.2762640007</v>
      </c>
      <c r="Q20" s="507">
        <f>+(OM_EF_2017!G71*OM_EF_2017!C71+OM_EF_2017!G72*OM_EF_2017!C72)/(OM_EF_2017!C71+OM_EF_2017!C72)</f>
        <v>0.55051138918883158</v>
      </c>
      <c r="R20" s="494">
        <f>+'Grid-EF'!$H$13</f>
        <v>0.45819421742177691</v>
      </c>
      <c r="S20" s="112" t="str">
        <f>+B20</f>
        <v>CCSUR20</v>
      </c>
      <c r="T20" s="501">
        <v>132.69999999999999</v>
      </c>
      <c r="U20" s="501">
        <v>0.7</v>
      </c>
      <c r="V20" s="49">
        <f>+T20*8760*U20</f>
        <v>813716.39999999991</v>
      </c>
      <c r="W20" s="258">
        <v>6449</v>
      </c>
      <c r="X20" s="59">
        <f>1/(W20/$F$8)</f>
        <v>0.52909598387346879</v>
      </c>
      <c r="Y20" s="59">
        <f>+$F$10*$F$11/X20</f>
        <v>0.38170767905185599</v>
      </c>
      <c r="Z20" s="509">
        <f>+Y20*V20</f>
        <v>310601.79845043161</v>
      </c>
      <c r="AA20" s="195">
        <f>+J20*Q20+(F20-J20)*MIN(Q20,R20)+(V20-F20)*R20</f>
        <v>430267.82136063062</v>
      </c>
      <c r="AB20" s="49">
        <f>+W20*V20*1000/$F$9</f>
        <v>5536572.0002911948</v>
      </c>
      <c r="AC20" s="415" t="str">
        <f>+IF(AB20&gt;MIN(L20,N20,P20),"Yes","No")</f>
        <v>No</v>
      </c>
      <c r="AD20" s="49">
        <f>+(L20+N20+P20)/3</f>
        <v>6140713.5219315141</v>
      </c>
      <c r="AE20" s="49">
        <f>+AB20*$F$12/1000*(1-AD20/AB20)</f>
        <v>-1752.010412756925</v>
      </c>
      <c r="AF20" s="60">
        <f>IF(AC20="Yes",MAX(0,AE20),0)</f>
        <v>0</v>
      </c>
      <c r="AG20" s="200">
        <f>+AA20-Z20-AF20</f>
        <v>119666.02291019901</v>
      </c>
    </row>
    <row r="21" spans="2:33" x14ac:dyDescent="0.3">
      <c r="B21" s="598"/>
      <c r="C21" s="508" t="s">
        <v>329</v>
      </c>
      <c r="D21" s="501">
        <v>44.16</v>
      </c>
      <c r="E21" s="49">
        <v>8760</v>
      </c>
      <c r="F21" s="49">
        <f>+E21*D21</f>
        <v>386841.59999999998</v>
      </c>
      <c r="G21" s="505">
        <f>+OM_EF_2015!C71</f>
        <v>285112</v>
      </c>
      <c r="H21" s="505">
        <f>+OM_EF_2016!C72</f>
        <v>329847.8391620898</v>
      </c>
      <c r="I21" s="505">
        <f>+OM_EF_2017!C71</f>
        <v>326287.42484508501</v>
      </c>
      <c r="J21" s="500"/>
      <c r="K21" s="506">
        <f>+OM_EF_2015!E71</f>
        <v>9355</v>
      </c>
      <c r="L21" s="60">
        <f>+K21*G21*1000/$F$9</f>
        <v>2814069.3403895479</v>
      </c>
      <c r="M21" s="506">
        <f>+OM_EF_2016!E72</f>
        <v>9409</v>
      </c>
      <c r="N21" s="60">
        <f>+M21*H21*1000/$F$9</f>
        <v>3274406.6825939007</v>
      </c>
      <c r="O21" s="506">
        <f>+OM_EF_2017!E71</f>
        <v>9304</v>
      </c>
      <c r="P21" s="60">
        <f>+O21*I21*1000/$F$9</f>
        <v>3202915.9645360559</v>
      </c>
      <c r="Q21" s="9"/>
      <c r="R21" s="9"/>
      <c r="S21" s="9"/>
      <c r="T21" s="9"/>
      <c r="U21" s="9"/>
      <c r="V21" s="9"/>
      <c r="W21" s="9"/>
      <c r="X21" s="9"/>
      <c r="Y21" s="9"/>
      <c r="Z21" s="9"/>
      <c r="AA21" s="9"/>
      <c r="AB21" s="9"/>
      <c r="AC21" s="9"/>
      <c r="AD21" s="9"/>
      <c r="AE21" s="9"/>
      <c r="AF21" s="9"/>
      <c r="AG21" s="24"/>
    </row>
    <row r="22" spans="2:33" x14ac:dyDescent="0.3">
      <c r="B22" s="599"/>
      <c r="C22" s="508" t="s">
        <v>330</v>
      </c>
      <c r="D22" s="501">
        <v>44.06</v>
      </c>
      <c r="E22" s="49">
        <v>8760</v>
      </c>
      <c r="F22" s="49">
        <f>+E22*D22</f>
        <v>385965.60000000003</v>
      </c>
      <c r="G22" s="505">
        <f>+OM_EF_2015!C72</f>
        <v>279769</v>
      </c>
      <c r="H22" s="505">
        <f>+OM_EF_2016!C73</f>
        <v>310140.64298799884</v>
      </c>
      <c r="I22" s="505">
        <f>+OM_EF_2017!C72</f>
        <v>335050.79283362499</v>
      </c>
      <c r="J22" s="21"/>
      <c r="K22" s="506">
        <f>+OM_EF_2015!E72</f>
        <v>9348</v>
      </c>
      <c r="L22" s="60">
        <f>+K22*G22*1000/$F$9</f>
        <v>2759267.4661880932</v>
      </c>
      <c r="M22" s="506">
        <f>+OM_EF_2016!E73</f>
        <v>9427</v>
      </c>
      <c r="N22" s="60">
        <f>+M22*H22*1000/$F$9</f>
        <v>3084662.8003589991</v>
      </c>
      <c r="O22" s="506">
        <f>+OM_EF_2017!E72</f>
        <v>9298</v>
      </c>
      <c r="P22" s="60">
        <f>+O22*I22*1000/$F$9</f>
        <v>3286818.3117279443</v>
      </c>
      <c r="Q22" s="10"/>
      <c r="R22" s="10"/>
      <c r="S22" s="10"/>
      <c r="T22" s="10"/>
      <c r="U22" s="10"/>
      <c r="V22" s="10"/>
      <c r="W22" s="10"/>
      <c r="X22" s="10"/>
      <c r="Y22" s="10"/>
      <c r="Z22" s="10"/>
      <c r="AA22" s="10"/>
      <c r="AB22" s="10"/>
      <c r="AC22" s="10"/>
      <c r="AD22" s="10"/>
      <c r="AE22" s="10"/>
      <c r="AF22" s="10"/>
      <c r="AG22" s="25"/>
    </row>
    <row r="23" spans="2:33" x14ac:dyDescent="0.3">
      <c r="B23" s="502"/>
      <c r="C23" s="503"/>
      <c r="D23" s="12"/>
      <c r="E23" s="229"/>
      <c r="F23" s="229"/>
      <c r="G23" s="504"/>
      <c r="H23" s="504"/>
      <c r="I23" s="504"/>
      <c r="J23" s="15"/>
      <c r="K23" s="231"/>
      <c r="L23" s="231"/>
      <c r="M23" s="231"/>
      <c r="N23" s="231"/>
      <c r="O23" s="231"/>
      <c r="P23" s="231"/>
      <c r="Q23" s="15"/>
      <c r="R23" s="10"/>
      <c r="S23" s="10"/>
      <c r="T23" s="10"/>
      <c r="U23" s="10"/>
      <c r="V23" s="10"/>
      <c r="W23" s="10"/>
      <c r="X23" s="10"/>
      <c r="Y23" s="10"/>
      <c r="Z23" s="10"/>
      <c r="AA23" s="10"/>
      <c r="AB23" s="10"/>
      <c r="AC23" s="10"/>
      <c r="AD23" s="10"/>
      <c r="AE23" s="10"/>
      <c r="AF23" s="10"/>
      <c r="AG23" s="25"/>
    </row>
    <row r="24" spans="2:33" x14ac:dyDescent="0.3">
      <c r="B24" s="597" t="s">
        <v>521</v>
      </c>
      <c r="C24" s="241"/>
      <c r="D24" s="12"/>
      <c r="E24" s="12"/>
      <c r="F24" s="60">
        <f>+F25+F26</f>
        <v>775960.8</v>
      </c>
      <c r="G24" s="60">
        <f>+G25+G26</f>
        <v>303785</v>
      </c>
      <c r="H24" s="60">
        <f>+H25+H26</f>
        <v>631324</v>
      </c>
      <c r="I24" s="60">
        <f>+I25+I26</f>
        <v>573575.29600000009</v>
      </c>
      <c r="J24" s="60">
        <f>+AVERAGE(G24:I24)</f>
        <v>502894.76533333334</v>
      </c>
      <c r="K24" s="12"/>
      <c r="L24" s="60">
        <f>+L25+L26</f>
        <v>2926055.7206718172</v>
      </c>
      <c r="M24" s="12"/>
      <c r="N24" s="60">
        <f>+N25+N26</f>
        <v>6088596.7227850948</v>
      </c>
      <c r="O24" s="12"/>
      <c r="P24" s="60">
        <f>+P25+P26</f>
        <v>5490814.2311690971</v>
      </c>
      <c r="Q24" s="507">
        <f>+(OM_EF_2017!G83*OM_EF_2017!C83+OM_EF_2017!G84*OM_EF_2017!C84)/(OM_EF_2017!C83+OM_EF_2017!C84)</f>
        <v>0.53704332952983669</v>
      </c>
      <c r="R24" s="494">
        <f>+'Grid-EF'!$H$13</f>
        <v>0.45819421742177691</v>
      </c>
      <c r="S24" s="112" t="str">
        <f>+B24</f>
        <v>CCWAR10</v>
      </c>
      <c r="T24" s="501">
        <v>135.19999999999999</v>
      </c>
      <c r="U24" s="501">
        <v>0.7</v>
      </c>
      <c r="V24" s="49">
        <f>+T24*8760*U24</f>
        <v>829046.39999999991</v>
      </c>
      <c r="W24" s="258">
        <v>6449</v>
      </c>
      <c r="X24" s="59">
        <f>1/(W24/$F$8)</f>
        <v>0.52909598387346879</v>
      </c>
      <c r="Y24" s="59">
        <f>+$F$10*$F$11/X24</f>
        <v>0.38170767905185599</v>
      </c>
      <c r="Z24" s="509">
        <f>+Y24*V24</f>
        <v>316453.37717029656</v>
      </c>
      <c r="AA24" s="195">
        <f>+J24*Q24+(F24-J24)*MIN(Q24,R24)+(V24-F24)*R24</f>
        <v>419517.07218466577</v>
      </c>
      <c r="AB24" s="49">
        <f>+W24*V24*1000/$F$9</f>
        <v>5640878.1796486024</v>
      </c>
      <c r="AC24" s="415" t="str">
        <f>+IF(AB24&gt;MIN(L24,N24,P24),"Yes","No")</f>
        <v>Yes</v>
      </c>
      <c r="AD24" s="49">
        <f>+(L24+N24+P24)/3</f>
        <v>4835155.5582086695</v>
      </c>
      <c r="AE24" s="49">
        <f>+AB24*$F$12/1000*(1-AD24/AB24)</f>
        <v>2336.5956021758052</v>
      </c>
      <c r="AF24" s="60">
        <f>IF(AC24="Yes",MAX(0,AE24),0)</f>
        <v>2336.5956021758052</v>
      </c>
      <c r="AG24" s="200">
        <f>+AA24-Z24-AF24</f>
        <v>100727.09941219341</v>
      </c>
    </row>
    <row r="25" spans="2:33" x14ac:dyDescent="0.3">
      <c r="B25" s="598"/>
      <c r="C25" s="508" t="s">
        <v>333</v>
      </c>
      <c r="D25" s="510">
        <v>44.58</v>
      </c>
      <c r="E25" s="49">
        <v>8760</v>
      </c>
      <c r="F25" s="49">
        <f>+E25*D25</f>
        <v>390520.8</v>
      </c>
      <c r="G25" s="505">
        <f>+OM_EF_2015!C83</f>
        <v>198822</v>
      </c>
      <c r="H25" s="505">
        <f>+OM_EF_2016!C84</f>
        <v>327476</v>
      </c>
      <c r="I25" s="505">
        <f>+OM_EF_2017!C83</f>
        <v>341340.33600000001</v>
      </c>
      <c r="J25" s="500"/>
      <c r="K25" s="506">
        <f>+OM_EF_2015!E83</f>
        <v>9100</v>
      </c>
      <c r="L25" s="60">
        <f>+K25*G25*1000/$F$9</f>
        <v>1908891.9063490103</v>
      </c>
      <c r="M25" s="506">
        <f>+OM_EF_2016!E84</f>
        <v>9100</v>
      </c>
      <c r="N25" s="60">
        <f>+M25*H25*1000/$F$9</f>
        <v>3144100.1796760345</v>
      </c>
      <c r="O25" s="506">
        <f>+OM_EF_2017!E83</f>
        <v>9039</v>
      </c>
      <c r="P25" s="60">
        <f>+O25*I25*1000/$F$9</f>
        <v>3255243.6779504903</v>
      </c>
      <c r="Q25" s="9"/>
      <c r="R25" s="9"/>
      <c r="S25" s="9"/>
      <c r="T25" s="9"/>
      <c r="U25" s="9"/>
      <c r="V25" s="9"/>
      <c r="W25" s="9"/>
      <c r="X25" s="9"/>
      <c r="Y25" s="9"/>
      <c r="Z25" s="9"/>
      <c r="AA25" s="9"/>
      <c r="AB25" s="9"/>
      <c r="AC25" s="9"/>
      <c r="AD25" s="9"/>
      <c r="AE25" s="9"/>
      <c r="AF25" s="9"/>
      <c r="AG25" s="24"/>
    </row>
    <row r="26" spans="2:33" x14ac:dyDescent="0.3">
      <c r="B26" s="599"/>
      <c r="C26" s="508" t="s">
        <v>334</v>
      </c>
      <c r="D26" s="510">
        <v>44</v>
      </c>
      <c r="E26" s="49">
        <v>8760</v>
      </c>
      <c r="F26" s="49">
        <f>+E26*D26</f>
        <v>385440</v>
      </c>
      <c r="G26" s="505">
        <f>+OM_EF_2015!C84</f>
        <v>104963</v>
      </c>
      <c r="H26" s="505">
        <f>+OM_EF_2016!C85</f>
        <v>303848</v>
      </c>
      <c r="I26" s="505">
        <f>+OM_EF_2017!C84</f>
        <v>232234.96000000008</v>
      </c>
      <c r="J26" s="21"/>
      <c r="K26" s="506">
        <f>+OM_EF_2015!E84</f>
        <v>9185</v>
      </c>
      <c r="L26" s="60">
        <f>+K26*G26*1000/$F$9</f>
        <v>1017163.814322807</v>
      </c>
      <c r="M26" s="506">
        <f>+OM_EF_2016!E85</f>
        <v>9185</v>
      </c>
      <c r="N26" s="60">
        <f>+M26*H26*1000/$F$9</f>
        <v>2944496.5431090603</v>
      </c>
      <c r="O26" s="506">
        <f>+OM_EF_2017!E84</f>
        <v>9124</v>
      </c>
      <c r="P26" s="60">
        <f>+O26*I26*1000/$F$9</f>
        <v>2235570.5532186073</v>
      </c>
      <c r="Q26" s="10"/>
      <c r="R26" s="10"/>
      <c r="S26" s="10"/>
      <c r="T26" s="10"/>
      <c r="U26" s="10"/>
      <c r="V26" s="10"/>
      <c r="W26" s="10"/>
      <c r="X26" s="10"/>
      <c r="Y26" s="10"/>
      <c r="Z26" s="10"/>
      <c r="AA26" s="10"/>
      <c r="AB26" s="10"/>
      <c r="AC26" s="10"/>
      <c r="AD26" s="10"/>
      <c r="AE26" s="10"/>
      <c r="AF26" s="10"/>
      <c r="AG26" s="25"/>
    </row>
    <row r="27" spans="2:33" x14ac:dyDescent="0.3">
      <c r="B27" s="502"/>
      <c r="C27" s="503"/>
      <c r="D27" s="12"/>
      <c r="E27" s="229"/>
      <c r="F27" s="229"/>
      <c r="G27" s="504"/>
      <c r="H27" s="504"/>
      <c r="I27" s="504"/>
      <c r="J27" s="15"/>
      <c r="K27" s="231"/>
      <c r="L27" s="231"/>
      <c r="M27" s="231"/>
      <c r="N27" s="231"/>
      <c r="O27" s="231"/>
      <c r="P27" s="231"/>
      <c r="Q27" s="15"/>
      <c r="R27" s="10"/>
      <c r="S27" s="10"/>
      <c r="T27" s="10"/>
      <c r="U27" s="10"/>
      <c r="V27" s="10"/>
      <c r="W27" s="10"/>
      <c r="X27" s="10"/>
      <c r="Y27" s="10"/>
      <c r="Z27" s="10"/>
      <c r="AA27" s="10"/>
      <c r="AB27" s="10"/>
      <c r="AC27" s="10"/>
      <c r="AD27" s="10"/>
      <c r="AE27" s="10"/>
      <c r="AF27" s="10"/>
      <c r="AG27" s="25"/>
    </row>
    <row r="28" spans="2:33" x14ac:dyDescent="0.3">
      <c r="B28" s="597" t="s">
        <v>522</v>
      </c>
      <c r="C28" s="241"/>
      <c r="D28" s="12"/>
      <c r="E28" s="12"/>
      <c r="F28" s="60">
        <f>+F29+F30</f>
        <v>775698</v>
      </c>
      <c r="G28" s="60">
        <f>+G29+G30</f>
        <v>211369</v>
      </c>
      <c r="H28" s="60">
        <f>+H29+H30</f>
        <v>662805</v>
      </c>
      <c r="I28" s="60">
        <f>+I29+I30</f>
        <v>651673.4879999999</v>
      </c>
      <c r="J28" s="60">
        <f>+AVERAGE(G28:I28)</f>
        <v>508615.8293333333</v>
      </c>
      <c r="K28" s="12"/>
      <c r="L28" s="60">
        <f>+L29+L30</f>
        <v>2048907.4568191962</v>
      </c>
      <c r="M28" s="12"/>
      <c r="N28" s="60">
        <f>+N29+N30</f>
        <v>6425797.0209439164</v>
      </c>
      <c r="O28" s="12"/>
      <c r="P28" s="60">
        <f>+P29+P30</f>
        <v>6275894.0299741393</v>
      </c>
      <c r="Q28" s="507">
        <f>+(OM_EF_2017!G85*OM_EF_2017!C85+OM_EF_2017!G86*OM_EF_2017!C86)/(OM_EF_2017!C85+OM_EF_2017!C86)</f>
        <v>0.54026715124267677</v>
      </c>
      <c r="R28" s="494">
        <f>+'Grid-EF'!$H$13</f>
        <v>0.45819421742177691</v>
      </c>
      <c r="S28" s="112" t="str">
        <f>+B28</f>
        <v>CCWAR20</v>
      </c>
      <c r="T28" s="501">
        <v>135.19999999999999</v>
      </c>
      <c r="U28" s="501">
        <v>0.7</v>
      </c>
      <c r="V28" s="49">
        <f>+T28*8760*U28</f>
        <v>829046.39999999991</v>
      </c>
      <c r="W28" s="258">
        <v>6449</v>
      </c>
      <c r="X28" s="59">
        <f>1/(W28/$F$8)</f>
        <v>0.52909598387346879</v>
      </c>
      <c r="Y28" s="59">
        <f>+$F$10*$F$11/X28</f>
        <v>0.38170767905185599</v>
      </c>
      <c r="Z28" s="509">
        <f>+Y28*V28</f>
        <v>316453.37717029656</v>
      </c>
      <c r="AA28" s="195">
        <f>+J28*Q28+(F28-J28)*MIN(Q28,R28)+(V28-F28)*R28</f>
        <v>421607.85975547816</v>
      </c>
      <c r="AB28" s="49">
        <f>+W28*V28*1000/$F$9</f>
        <v>5640878.1796486024</v>
      </c>
      <c r="AC28" s="415" t="str">
        <f>+IF(AB28&gt;MIN(L28,N28,P28),"Yes","No")</f>
        <v>Yes</v>
      </c>
      <c r="AD28" s="49">
        <f>+(L28+N28+P28)/3</f>
        <v>4916866.1692457506</v>
      </c>
      <c r="AE28" s="49">
        <f>+AB28*$F$12/1000*(1-AD28/AB28)</f>
        <v>2099.6348301682692</v>
      </c>
      <c r="AF28" s="60">
        <f>IF(AC28="Yes",MAX(0,AE28),0)</f>
        <v>2099.6348301682692</v>
      </c>
      <c r="AG28" s="200">
        <f>+AA28-Z28-AF28</f>
        <v>103054.84775501332</v>
      </c>
    </row>
    <row r="29" spans="2:33" x14ac:dyDescent="0.3">
      <c r="B29" s="598"/>
      <c r="C29" s="508" t="s">
        <v>335</v>
      </c>
      <c r="D29" s="510">
        <v>44.55</v>
      </c>
      <c r="E29" s="49">
        <v>8760</v>
      </c>
      <c r="F29" s="49">
        <f>+E29*D29</f>
        <v>390258</v>
      </c>
      <c r="G29" s="505">
        <f>+OM_EF_2015!C85</f>
        <v>135385</v>
      </c>
      <c r="H29" s="505">
        <f>+OM_EF_2016!C86</f>
        <v>334360</v>
      </c>
      <c r="I29" s="505">
        <f>+OM_EF_2017!C85</f>
        <v>332215.63199999998</v>
      </c>
      <c r="J29" s="500"/>
      <c r="K29" s="506">
        <f>+OM_EF_2015!E85</f>
        <v>9183</v>
      </c>
      <c r="L29" s="60">
        <f>+K29*G29*1000/$F$9</f>
        <v>1311688.2847638309</v>
      </c>
      <c r="M29" s="506">
        <f>+OM_EF_2016!E86</f>
        <v>9183</v>
      </c>
      <c r="N29" s="60">
        <f>+M29*H29*1000/$F$9</f>
        <v>3239473.3160515162</v>
      </c>
      <c r="O29" s="506">
        <f>+OM_EF_2017!E85</f>
        <v>9122</v>
      </c>
      <c r="P29" s="60">
        <f>+O29*I29*1000/$F$9</f>
        <v>3197316.5654382645</v>
      </c>
      <c r="Q29" s="9"/>
      <c r="R29" s="9"/>
      <c r="S29" s="9"/>
      <c r="T29" s="9"/>
      <c r="U29" s="9"/>
      <c r="V29" s="9"/>
      <c r="W29" s="9"/>
      <c r="X29" s="9"/>
      <c r="Y29" s="9"/>
      <c r="Z29" s="9"/>
      <c r="AA29" s="9"/>
      <c r="AB29" s="9"/>
      <c r="AC29" s="9"/>
      <c r="AD29" s="9"/>
      <c r="AE29" s="9"/>
      <c r="AF29" s="9"/>
      <c r="AG29" s="24"/>
    </row>
    <row r="30" spans="2:33" x14ac:dyDescent="0.3">
      <c r="B30" s="599"/>
      <c r="C30" s="508" t="s">
        <v>336</v>
      </c>
      <c r="D30" s="510">
        <v>44</v>
      </c>
      <c r="E30" s="49">
        <v>8760</v>
      </c>
      <c r="F30" s="49">
        <f>+E30*D30</f>
        <v>385440</v>
      </c>
      <c r="G30" s="505">
        <f>+OM_EF_2015!C86</f>
        <v>75984</v>
      </c>
      <c r="H30" s="505">
        <f>+OM_EF_2016!C87</f>
        <v>328445</v>
      </c>
      <c r="I30" s="505">
        <f>+OM_EF_2017!C86</f>
        <v>319457.85599999991</v>
      </c>
      <c r="J30" s="21"/>
      <c r="K30" s="506">
        <f>+OM_EF_2015!E86</f>
        <v>9196</v>
      </c>
      <c r="L30" s="60">
        <f>+K30*G30*1000/$F$9</f>
        <v>737219.17205536517</v>
      </c>
      <c r="M30" s="506">
        <f>+OM_EF_2016!E87</f>
        <v>9195</v>
      </c>
      <c r="N30" s="60">
        <f>+M30*H30*1000/$F$9</f>
        <v>3186323.7048924002</v>
      </c>
      <c r="O30" s="506">
        <f>+OM_EF_2017!E86</f>
        <v>9134</v>
      </c>
      <c r="P30" s="60">
        <f>+O30*I30*1000/$F$9</f>
        <v>3078577.4645358748</v>
      </c>
      <c r="Q30" s="10"/>
      <c r="R30" s="10"/>
      <c r="S30" s="10"/>
      <c r="T30" s="10"/>
      <c r="U30" s="10"/>
      <c r="V30" s="10"/>
      <c r="W30" s="10"/>
      <c r="X30" s="10"/>
      <c r="Y30" s="10"/>
      <c r="Z30" s="10"/>
      <c r="AA30" s="10"/>
      <c r="AB30" s="10"/>
      <c r="AC30" s="10"/>
      <c r="AD30" s="10"/>
      <c r="AE30" s="10"/>
      <c r="AF30" s="10"/>
      <c r="AG30" s="25"/>
    </row>
    <row r="31" spans="2:33" x14ac:dyDescent="0.3">
      <c r="F31" s="114"/>
      <c r="H31" s="114"/>
      <c r="I31" s="114"/>
      <c r="J31" s="114"/>
      <c r="K31" s="114"/>
      <c r="L31" s="114"/>
      <c r="M31" s="114"/>
      <c r="N31" s="114"/>
      <c r="O31" s="114"/>
      <c r="P31" s="114"/>
    </row>
    <row r="32" spans="2:33" x14ac:dyDescent="0.3">
      <c r="F32" s="114"/>
      <c r="H32" s="114"/>
      <c r="I32" s="114"/>
      <c r="J32" s="114"/>
      <c r="K32" s="114"/>
      <c r="L32" s="114"/>
      <c r="M32" s="114"/>
      <c r="N32" s="114"/>
      <c r="O32" s="114"/>
      <c r="P32" s="114"/>
    </row>
    <row r="33" spans="2:19" x14ac:dyDescent="0.3">
      <c r="F33" s="114"/>
      <c r="H33" s="114"/>
      <c r="I33" s="114"/>
      <c r="J33" s="114"/>
      <c r="K33" s="114"/>
      <c r="L33" s="114"/>
      <c r="M33" s="114"/>
      <c r="N33" s="114"/>
      <c r="O33" s="114"/>
      <c r="P33" s="114"/>
    </row>
    <row r="34" spans="2:19" x14ac:dyDescent="0.3">
      <c r="B34" s="9"/>
      <c r="C34" s="9"/>
      <c r="D34" s="9"/>
      <c r="E34" s="9"/>
      <c r="F34" s="30"/>
      <c r="H34" s="114"/>
      <c r="I34" s="114"/>
      <c r="J34" s="114"/>
      <c r="K34" s="114"/>
      <c r="L34" s="114"/>
      <c r="M34" s="114"/>
      <c r="N34" s="114"/>
      <c r="O34" s="114"/>
      <c r="P34" s="114"/>
    </row>
    <row r="35" spans="2:19" x14ac:dyDescent="0.3">
      <c r="B35" s="9"/>
      <c r="C35" s="9"/>
      <c r="D35" s="9"/>
      <c r="E35" s="9"/>
      <c r="F35" s="30"/>
      <c r="H35" s="114"/>
      <c r="I35" s="114"/>
      <c r="J35" s="114"/>
      <c r="K35" s="114"/>
      <c r="L35" s="114"/>
      <c r="M35" s="114"/>
      <c r="N35" s="114"/>
      <c r="O35" s="114"/>
      <c r="P35" s="114"/>
    </row>
    <row r="36" spans="2:19" x14ac:dyDescent="0.3">
      <c r="B36" s="9"/>
      <c r="C36" s="9"/>
      <c r="D36" s="511"/>
      <c r="E36" s="9"/>
      <c r="F36" s="30"/>
      <c r="G36" s="114"/>
      <c r="H36" s="490"/>
      <c r="I36" s="114"/>
      <c r="J36" s="114"/>
      <c r="K36" s="114"/>
      <c r="L36" s="114"/>
      <c r="M36" s="114"/>
      <c r="N36" s="114"/>
      <c r="O36" s="114"/>
      <c r="P36" s="114"/>
    </row>
    <row r="37" spans="2:19" x14ac:dyDescent="0.3">
      <c r="B37" s="9"/>
      <c r="C37" s="9"/>
      <c r="D37" s="511"/>
      <c r="E37" s="9"/>
      <c r="F37" s="30"/>
      <c r="G37" s="114"/>
      <c r="H37" s="490"/>
      <c r="I37" s="114"/>
      <c r="J37" s="114"/>
      <c r="K37" s="114"/>
      <c r="L37" s="114"/>
      <c r="M37" s="114"/>
      <c r="N37" s="114"/>
      <c r="O37" s="114"/>
      <c r="P37" s="114"/>
    </row>
    <row r="38" spans="2:19" x14ac:dyDescent="0.3">
      <c r="B38" s="9"/>
      <c r="C38" s="9"/>
      <c r="D38" s="9"/>
      <c r="E38" s="9"/>
      <c r="F38" s="30"/>
      <c r="G38" s="26"/>
      <c r="H38" s="26"/>
      <c r="I38" s="26"/>
      <c r="J38" s="26"/>
      <c r="K38" s="26"/>
      <c r="L38" s="26"/>
      <c r="M38" s="26"/>
      <c r="N38" s="26"/>
      <c r="O38" s="26"/>
      <c r="P38" s="26"/>
      <c r="Q38" s="26"/>
      <c r="R38" s="26"/>
      <c r="S38" s="26"/>
    </row>
    <row r="39" spans="2:19" x14ac:dyDescent="0.3">
      <c r="B39" s="9"/>
      <c r="C39" s="9"/>
      <c r="D39" s="9"/>
      <c r="E39" s="9"/>
      <c r="F39" s="30"/>
    </row>
    <row r="40" spans="2:19" x14ac:dyDescent="0.3">
      <c r="F40" s="114"/>
    </row>
  </sheetData>
  <mergeCells count="4">
    <mergeCell ref="B28:B30"/>
    <mergeCell ref="B16:B18"/>
    <mergeCell ref="B20:B22"/>
    <mergeCell ref="B24:B26"/>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R141"/>
  <sheetViews>
    <sheetView showGridLines="0" zoomScale="80" zoomScaleNormal="80" workbookViewId="0"/>
  </sheetViews>
  <sheetFormatPr baseColWidth="10" defaultRowHeight="14.4" x14ac:dyDescent="0.3"/>
  <cols>
    <col min="2" max="2" width="16.77734375" style="1" customWidth="1"/>
    <col min="3" max="3" width="15.33203125" style="1" customWidth="1"/>
    <col min="4" max="4" width="12.6640625" style="527" customWidth="1"/>
    <col min="5" max="5" width="17.109375" style="1" customWidth="1"/>
    <col min="6" max="6" width="19.88671875" style="1" customWidth="1"/>
    <col min="8" max="8" width="20.77734375" style="1" customWidth="1"/>
    <col min="9" max="9" width="16.88671875" style="1" customWidth="1"/>
    <col min="10" max="12" width="13.6640625" style="1" customWidth="1"/>
    <col min="14" max="14" width="16.6640625" style="1" customWidth="1"/>
    <col min="15" max="15" width="13.88671875" style="1" customWidth="1"/>
    <col min="16" max="16" width="10.5546875" style="1" customWidth="1"/>
    <col min="17" max="17" width="14.33203125" style="1" bestFit="1" customWidth="1"/>
    <col min="18" max="18" width="14.33203125" style="1" customWidth="1"/>
  </cols>
  <sheetData>
    <row r="1" spans="2:18" ht="23.4" x14ac:dyDescent="0.45">
      <c r="B1" s="477" t="s">
        <v>482</v>
      </c>
      <c r="H1" s="477" t="s">
        <v>482</v>
      </c>
    </row>
    <row r="3" spans="2:18" ht="23.4" x14ac:dyDescent="0.45">
      <c r="B3" s="477" t="s">
        <v>534</v>
      </c>
      <c r="C3" s="477"/>
      <c r="D3" s="528"/>
      <c r="E3" s="477"/>
      <c r="F3" s="477"/>
      <c r="H3" s="477" t="s">
        <v>533</v>
      </c>
      <c r="I3" s="477"/>
      <c r="J3" s="477"/>
      <c r="K3" s="477"/>
      <c r="L3" s="477"/>
      <c r="N3" s="477" t="s">
        <v>487</v>
      </c>
    </row>
    <row r="5" spans="2:18" ht="21" customHeight="1" x14ac:dyDescent="0.3">
      <c r="B5" s="600" t="s">
        <v>409</v>
      </c>
      <c r="C5" s="601"/>
      <c r="D5" s="601"/>
      <c r="E5" s="601"/>
      <c r="F5" s="602"/>
      <c r="H5" s="600" t="s">
        <v>409</v>
      </c>
      <c r="I5" s="601"/>
      <c r="J5" s="601"/>
      <c r="K5" s="601"/>
      <c r="L5" s="602"/>
      <c r="N5" s="600" t="s">
        <v>409</v>
      </c>
      <c r="O5" s="601"/>
      <c r="P5" s="601"/>
      <c r="Q5" s="601"/>
      <c r="R5" s="602"/>
    </row>
    <row r="6" spans="2:18" x14ac:dyDescent="0.3">
      <c r="B6" s="13"/>
      <c r="C6" s="13"/>
      <c r="D6" s="28"/>
      <c r="E6" s="13"/>
      <c r="F6" s="13"/>
      <c r="H6" s="13"/>
      <c r="I6" s="13"/>
      <c r="J6" s="13"/>
      <c r="K6" s="13"/>
      <c r="L6" s="13"/>
      <c r="N6" s="13"/>
      <c r="O6" s="13"/>
      <c r="P6" s="13"/>
      <c r="Q6" s="13"/>
      <c r="R6" s="13"/>
    </row>
    <row r="7" spans="2:18" ht="28.8" x14ac:dyDescent="0.3">
      <c r="B7" s="603" t="s">
        <v>537</v>
      </c>
      <c r="C7" s="604"/>
      <c r="D7" s="389" t="s">
        <v>397</v>
      </c>
      <c r="E7" s="389" t="s">
        <v>535</v>
      </c>
      <c r="F7" s="397" t="s">
        <v>536</v>
      </c>
      <c r="H7" s="603" t="s">
        <v>537</v>
      </c>
      <c r="I7" s="604"/>
      <c r="J7" s="389" t="s">
        <v>397</v>
      </c>
      <c r="K7" s="389" t="s">
        <v>535</v>
      </c>
      <c r="L7" s="397" t="s">
        <v>536</v>
      </c>
      <c r="N7" s="603" t="s">
        <v>537</v>
      </c>
      <c r="O7" s="604"/>
      <c r="P7" s="389" t="s">
        <v>397</v>
      </c>
      <c r="Q7" s="389" t="s">
        <v>535</v>
      </c>
      <c r="R7" s="397" t="s">
        <v>536</v>
      </c>
    </row>
    <row r="8" spans="2:18" x14ac:dyDescent="0.3">
      <c r="B8" s="2" t="str">
        <f>+B17</f>
        <v>Natural gas</v>
      </c>
      <c r="C8" s="13"/>
      <c r="D8" s="532">
        <f>SUM(D19:D41)</f>
        <v>1596.5600000000006</v>
      </c>
      <c r="E8" s="532">
        <f>+E19</f>
        <v>1807.4999999999998</v>
      </c>
      <c r="F8" s="532">
        <f>SUM(F19:F41)</f>
        <v>2885782.1999999997</v>
      </c>
      <c r="H8" s="2" t="str">
        <f>+H17</f>
        <v>Natural gas</v>
      </c>
      <c r="I8" s="13"/>
      <c r="J8" s="532">
        <f>SUM(J19:J41)</f>
        <v>0</v>
      </c>
      <c r="K8" s="532">
        <f>+K19</f>
        <v>1807.4999999999998</v>
      </c>
      <c r="L8" s="532">
        <f>SUM(L19:L41)</f>
        <v>0</v>
      </c>
      <c r="N8" s="2" t="str">
        <f>+N17</f>
        <v>Natural gas</v>
      </c>
      <c r="O8" s="13"/>
      <c r="P8" s="532">
        <f>SUM(P19:P41)</f>
        <v>1480.5600000000006</v>
      </c>
      <c r="Q8" s="532">
        <f>+Q19</f>
        <v>1807.4999999999998</v>
      </c>
      <c r="R8" s="532">
        <f>SUM(R19:R41)</f>
        <v>2676112.1999999997</v>
      </c>
    </row>
    <row r="9" spans="2:18" x14ac:dyDescent="0.3">
      <c r="B9" s="13" t="str">
        <f>+B44</f>
        <v>Hydropower</v>
      </c>
      <c r="C9" s="13"/>
      <c r="D9" s="532">
        <f>SUM(D46:D89)</f>
        <v>8739.1</v>
      </c>
      <c r="E9" s="532">
        <f>+E46</f>
        <v>2500</v>
      </c>
      <c r="F9" s="532">
        <f>SUM(F46:F89)</f>
        <v>21847750</v>
      </c>
      <c r="H9" s="13" t="str">
        <f>+H44</f>
        <v>Hydropower</v>
      </c>
      <c r="I9" s="13"/>
      <c r="J9" s="532">
        <f>SUM(J46:J89)</f>
        <v>8739.1</v>
      </c>
      <c r="K9" s="532">
        <f>+K46</f>
        <v>2500</v>
      </c>
      <c r="L9" s="532">
        <f>SUM(L46:L89)</f>
        <v>21847750</v>
      </c>
      <c r="N9" s="13" t="str">
        <f>+N44</f>
        <v>Hydropower</v>
      </c>
      <c r="O9" s="13"/>
      <c r="P9" s="532">
        <f>SUM(P46:P89)</f>
        <v>958.2</v>
      </c>
      <c r="Q9" s="532">
        <f>+Q46</f>
        <v>2500</v>
      </c>
      <c r="R9" s="532">
        <f>SUM(R46:R89)</f>
        <v>2395500</v>
      </c>
    </row>
    <row r="10" spans="2:18" x14ac:dyDescent="0.3">
      <c r="B10" s="13" t="str">
        <f>+B92</f>
        <v>Wind</v>
      </c>
      <c r="C10" s="13"/>
      <c r="D10" s="532">
        <f>SUM(D94:D107)</f>
        <v>429</v>
      </c>
      <c r="E10" s="532">
        <f>+E94</f>
        <v>1750</v>
      </c>
      <c r="F10" s="532">
        <f>SUM(F94:F107)</f>
        <v>750750</v>
      </c>
      <c r="H10" s="13" t="str">
        <f>+H92</f>
        <v>Wind</v>
      </c>
      <c r="I10" s="13"/>
      <c r="J10" s="532">
        <f>SUM(J94:J107)</f>
        <v>429</v>
      </c>
      <c r="K10" s="532">
        <f>+K94</f>
        <v>1750</v>
      </c>
      <c r="L10" s="532">
        <f>SUM(L94:L107)</f>
        <v>750750</v>
      </c>
      <c r="N10" s="13" t="str">
        <f>+N92</f>
        <v>Wind</v>
      </c>
      <c r="O10" s="13"/>
      <c r="P10" s="532">
        <f>SUM(P94:P107)</f>
        <v>153</v>
      </c>
      <c r="Q10" s="532">
        <f>+Q94</f>
        <v>1750</v>
      </c>
      <c r="R10" s="532">
        <f>SUM(R94:R107)</f>
        <v>267750</v>
      </c>
    </row>
    <row r="11" spans="2:18" x14ac:dyDescent="0.3">
      <c r="B11" s="13" t="str">
        <f>+B110</f>
        <v>Solar PV</v>
      </c>
      <c r="C11" s="13"/>
      <c r="D11" s="533">
        <f>SUM(D112:D124)</f>
        <v>370</v>
      </c>
      <c r="E11" s="533">
        <f>+E112</f>
        <v>1200</v>
      </c>
      <c r="F11" s="533">
        <f>SUM(F112:F124)</f>
        <v>444000</v>
      </c>
      <c r="H11" s="13" t="str">
        <f>+H110</f>
        <v>Solar PV</v>
      </c>
      <c r="I11" s="13"/>
      <c r="J11" s="533">
        <f>SUM(J112:J124)</f>
        <v>370</v>
      </c>
      <c r="K11" s="533">
        <f>+K112</f>
        <v>1200</v>
      </c>
      <c r="L11" s="533">
        <f>SUM(L112:L124)</f>
        <v>444000</v>
      </c>
      <c r="N11" s="13" t="str">
        <f>+N110</f>
        <v>Solar PV</v>
      </c>
      <c r="O11" s="13"/>
      <c r="P11" s="533">
        <f>SUM(P112:P124)</f>
        <v>165</v>
      </c>
      <c r="Q11" s="533">
        <f>+Q112</f>
        <v>1200</v>
      </c>
      <c r="R11" s="533">
        <f>SUM(R112:R124)</f>
        <v>198000</v>
      </c>
    </row>
    <row r="12" spans="2:18" x14ac:dyDescent="0.3">
      <c r="B12" s="13" t="str">
        <f>+B127</f>
        <v>Geothermal</v>
      </c>
      <c r="C12" s="13"/>
      <c r="D12" s="532">
        <f>SUM(D128:D131)</f>
        <v>105</v>
      </c>
      <c r="E12" s="532">
        <f>+E129</f>
        <v>5500</v>
      </c>
      <c r="F12" s="532">
        <f>SUM(F128:F131)</f>
        <v>577500</v>
      </c>
      <c r="H12" s="13" t="str">
        <f>+H127</f>
        <v>Geothermal</v>
      </c>
      <c r="I12" s="13"/>
      <c r="J12" s="532">
        <f>SUM(J128:J131)</f>
        <v>105</v>
      </c>
      <c r="K12" s="532">
        <f>+K129</f>
        <v>5500</v>
      </c>
      <c r="L12" s="532">
        <f>SUM(L128:L131)</f>
        <v>577500</v>
      </c>
      <c r="N12" s="13" t="str">
        <f>+N127</f>
        <v>Geothermal</v>
      </c>
      <c r="O12" s="13"/>
      <c r="P12" s="532">
        <f>SUM(P128:P131)</f>
        <v>5</v>
      </c>
      <c r="Q12" s="532">
        <f>+Q129</f>
        <v>5500</v>
      </c>
      <c r="R12" s="532">
        <f>SUM(R128:R131)</f>
        <v>27500</v>
      </c>
    </row>
    <row r="13" spans="2:18" x14ac:dyDescent="0.3">
      <c r="B13" s="13" t="str">
        <f>+B134</f>
        <v>Biomass</v>
      </c>
      <c r="C13" s="13"/>
      <c r="D13" s="532">
        <f>SUM(D136:D140)</f>
        <v>50</v>
      </c>
      <c r="E13" s="532">
        <f>+E136</f>
        <v>4000</v>
      </c>
      <c r="F13" s="532">
        <f>SUM(F136:F140)</f>
        <v>200000</v>
      </c>
      <c r="H13" s="13" t="str">
        <f>+H134</f>
        <v>Biomass</v>
      </c>
      <c r="I13" s="13"/>
      <c r="J13" s="532">
        <f>SUM(J136:J140)</f>
        <v>50</v>
      </c>
      <c r="K13" s="532">
        <f>+K136</f>
        <v>4000</v>
      </c>
      <c r="L13" s="532">
        <f>SUM(L136:L140)</f>
        <v>200000</v>
      </c>
      <c r="N13" s="13" t="str">
        <f>+N134</f>
        <v>Biomass</v>
      </c>
      <c r="O13" s="13"/>
      <c r="P13" s="532">
        <f>SUM(P136:P140)</f>
        <v>0</v>
      </c>
      <c r="Q13" s="532">
        <f>+Q136</f>
        <v>0</v>
      </c>
      <c r="R13" s="532">
        <f>SUM(R136:R140)</f>
        <v>0</v>
      </c>
    </row>
    <row r="14" spans="2:18" x14ac:dyDescent="0.3">
      <c r="B14" s="605" t="s">
        <v>259</v>
      </c>
      <c r="C14" s="606"/>
      <c r="D14" s="421">
        <f>SUM(D8:D13)</f>
        <v>11289.660000000002</v>
      </c>
      <c r="E14" s="534"/>
      <c r="F14" s="535">
        <f>SUM(F8:F13)</f>
        <v>26705782.199999999</v>
      </c>
      <c r="H14" s="605" t="s">
        <v>259</v>
      </c>
      <c r="I14" s="606"/>
      <c r="J14" s="421">
        <f>SUM(J8:J13)</f>
        <v>9693.1</v>
      </c>
      <c r="K14" s="534"/>
      <c r="L14" s="535">
        <f>SUM(L8:L13)</f>
        <v>23820000</v>
      </c>
      <c r="N14" s="605" t="s">
        <v>259</v>
      </c>
      <c r="O14" s="606"/>
      <c r="P14" s="421">
        <f>SUM(P8:P13)</f>
        <v>2761.7600000000007</v>
      </c>
      <c r="Q14" s="534"/>
      <c r="R14" s="535">
        <f>SUM(R8:R13)</f>
        <v>5564862.1999999993</v>
      </c>
    </row>
    <row r="15" spans="2:18" x14ac:dyDescent="0.3">
      <c r="B15" s="13"/>
      <c r="C15" s="13"/>
      <c r="D15" s="28"/>
      <c r="E15" s="13"/>
      <c r="F15" s="13"/>
      <c r="H15" s="13"/>
      <c r="I15" s="13"/>
      <c r="J15" s="13"/>
      <c r="K15" s="13"/>
      <c r="L15" s="13"/>
      <c r="N15" s="13"/>
      <c r="O15" s="13"/>
      <c r="P15" s="13"/>
      <c r="Q15" s="13"/>
      <c r="R15" s="13"/>
    </row>
    <row r="16" spans="2:18" ht="28.8" x14ac:dyDescent="0.3">
      <c r="B16" s="473" t="s">
        <v>163</v>
      </c>
      <c r="C16" s="389" t="s">
        <v>279</v>
      </c>
      <c r="D16" s="389" t="s">
        <v>397</v>
      </c>
      <c r="E16" s="389" t="s">
        <v>535</v>
      </c>
      <c r="F16" s="397" t="s">
        <v>536</v>
      </c>
      <c r="H16" s="473" t="s">
        <v>163</v>
      </c>
      <c r="I16" s="389" t="s">
        <v>279</v>
      </c>
      <c r="J16" s="389" t="s">
        <v>397</v>
      </c>
      <c r="K16" s="389" t="s">
        <v>535</v>
      </c>
      <c r="L16" s="397" t="s">
        <v>536</v>
      </c>
      <c r="N16" s="81" t="s">
        <v>163</v>
      </c>
      <c r="O16" s="389" t="s">
        <v>279</v>
      </c>
      <c r="P16" s="389" t="s">
        <v>397</v>
      </c>
      <c r="Q16" s="389" t="s">
        <v>535</v>
      </c>
      <c r="R16" s="397" t="s">
        <v>536</v>
      </c>
    </row>
    <row r="17" spans="2:18" x14ac:dyDescent="0.3">
      <c r="B17" s="16" t="s">
        <v>15</v>
      </c>
      <c r="C17" s="377"/>
      <c r="D17" s="529"/>
      <c r="E17" s="377"/>
      <c r="F17" s="377"/>
      <c r="H17" s="16" t="s">
        <v>15</v>
      </c>
      <c r="I17" s="377"/>
      <c r="J17" s="377"/>
      <c r="K17" s="377"/>
      <c r="L17" s="377"/>
      <c r="N17" s="16" t="s">
        <v>15</v>
      </c>
      <c r="O17" s="377"/>
      <c r="P17" s="377"/>
      <c r="Q17" s="377"/>
      <c r="R17" s="377"/>
    </row>
    <row r="18" spans="2:18" x14ac:dyDescent="0.3">
      <c r="B18" s="77" t="s">
        <v>23</v>
      </c>
      <c r="C18" s="75"/>
      <c r="D18" s="420"/>
      <c r="E18" s="75"/>
      <c r="F18" s="75"/>
      <c r="H18" s="77" t="s">
        <v>23</v>
      </c>
      <c r="I18" s="75"/>
      <c r="J18" s="75"/>
      <c r="K18" s="75"/>
      <c r="L18" s="75"/>
      <c r="N18" s="77" t="s">
        <v>23</v>
      </c>
      <c r="O18" s="75"/>
      <c r="P18" s="75"/>
      <c r="Q18" s="75"/>
      <c r="R18" s="75"/>
    </row>
    <row r="19" spans="2:18" x14ac:dyDescent="0.3">
      <c r="B19" s="76" t="s">
        <v>239</v>
      </c>
      <c r="C19" s="390">
        <v>2019</v>
      </c>
      <c r="D19" s="530">
        <v>136.4</v>
      </c>
      <c r="E19" s="526">
        <v>1807.4999999999998</v>
      </c>
      <c r="F19" s="526">
        <f>+E19*D19</f>
        <v>246542.99999999997</v>
      </c>
      <c r="H19" s="76" t="s">
        <v>239</v>
      </c>
      <c r="I19" s="390"/>
      <c r="J19" s="426"/>
      <c r="K19" s="526">
        <v>1807.4999999999998</v>
      </c>
      <c r="L19" s="526">
        <f>+K19*J19</f>
        <v>0</v>
      </c>
      <c r="N19" s="76" t="s">
        <v>239</v>
      </c>
      <c r="O19" s="390">
        <v>2019</v>
      </c>
      <c r="P19" s="182">
        <v>136.4</v>
      </c>
      <c r="Q19" s="526">
        <v>1807.4999999999998</v>
      </c>
      <c r="R19" s="526">
        <f>+Q19*P19</f>
        <v>246542.99999999997</v>
      </c>
    </row>
    <row r="20" spans="2:18" x14ac:dyDescent="0.3">
      <c r="B20" s="76" t="s">
        <v>240</v>
      </c>
      <c r="C20" s="390">
        <v>2019</v>
      </c>
      <c r="D20" s="530">
        <v>136.4</v>
      </c>
      <c r="E20" s="526">
        <f>+E19</f>
        <v>1807.4999999999998</v>
      </c>
      <c r="F20" s="526">
        <f t="shared" ref="F20:F37" si="0">+E20*D20</f>
        <v>246542.99999999997</v>
      </c>
      <c r="H20" s="76" t="s">
        <v>240</v>
      </c>
      <c r="I20" s="390"/>
      <c r="J20" s="426"/>
      <c r="K20" s="526">
        <f>+K19</f>
        <v>1807.4999999999998</v>
      </c>
      <c r="L20" s="526">
        <f t="shared" ref="L20:L21" si="1">+K20*J20</f>
        <v>0</v>
      </c>
      <c r="N20" s="76" t="s">
        <v>240</v>
      </c>
      <c r="O20" s="390">
        <v>2019</v>
      </c>
      <c r="P20" s="182">
        <v>136.4</v>
      </c>
      <c r="Q20" s="526">
        <f>+Q19</f>
        <v>1807.4999999999998</v>
      </c>
      <c r="R20" s="526">
        <f t="shared" ref="R20:R21" si="2">+Q20*P20</f>
        <v>246542.99999999997</v>
      </c>
    </row>
    <row r="21" spans="2:18" x14ac:dyDescent="0.3">
      <c r="B21" s="76" t="s">
        <v>241</v>
      </c>
      <c r="C21" s="390">
        <v>2019</v>
      </c>
      <c r="D21" s="530">
        <v>136.4</v>
      </c>
      <c r="E21" s="526">
        <f>+E20</f>
        <v>1807.4999999999998</v>
      </c>
      <c r="F21" s="526">
        <f t="shared" si="0"/>
        <v>246542.99999999997</v>
      </c>
      <c r="H21" s="76" t="s">
        <v>241</v>
      </c>
      <c r="I21" s="390"/>
      <c r="J21" s="426"/>
      <c r="K21" s="526">
        <f>+K20</f>
        <v>1807.4999999999998</v>
      </c>
      <c r="L21" s="526">
        <f t="shared" si="1"/>
        <v>0</v>
      </c>
      <c r="N21" s="76" t="s">
        <v>241</v>
      </c>
      <c r="O21" s="390">
        <v>2019</v>
      </c>
      <c r="P21" s="182">
        <v>136.4</v>
      </c>
      <c r="Q21" s="526">
        <f>+Q20</f>
        <v>1807.4999999999998</v>
      </c>
      <c r="R21" s="526">
        <f t="shared" si="2"/>
        <v>246542.99999999997</v>
      </c>
    </row>
    <row r="22" spans="2:18" x14ac:dyDescent="0.3">
      <c r="B22" s="77" t="s">
        <v>24</v>
      </c>
      <c r="C22" s="75"/>
      <c r="D22" s="420"/>
      <c r="E22" s="523"/>
      <c r="F22" s="523"/>
      <c r="H22" s="77" t="s">
        <v>24</v>
      </c>
      <c r="I22" s="75"/>
      <c r="J22" s="75"/>
      <c r="K22" s="523"/>
      <c r="L22" s="523"/>
      <c r="N22" s="77" t="s">
        <v>24</v>
      </c>
      <c r="O22" s="75"/>
      <c r="P22" s="75"/>
      <c r="Q22" s="523"/>
      <c r="R22" s="523"/>
    </row>
    <row r="23" spans="2:18" x14ac:dyDescent="0.3">
      <c r="B23" s="76" t="s">
        <v>451</v>
      </c>
      <c r="C23" s="390">
        <v>2020</v>
      </c>
      <c r="D23" s="530">
        <v>132.69</v>
      </c>
      <c r="E23" s="526">
        <f>+E21</f>
        <v>1807.4999999999998</v>
      </c>
      <c r="F23" s="526">
        <f t="shared" si="0"/>
        <v>239837.17499999996</v>
      </c>
      <c r="H23" s="76" t="s">
        <v>451</v>
      </c>
      <c r="I23" s="390"/>
      <c r="J23" s="426"/>
      <c r="K23" s="526">
        <f>+K21</f>
        <v>1807.4999999999998</v>
      </c>
      <c r="L23" s="526">
        <f t="shared" ref="L23:L26" si="3">+K23*J23</f>
        <v>0</v>
      </c>
      <c r="N23" s="76" t="s">
        <v>451</v>
      </c>
      <c r="O23" s="390">
        <v>2020</v>
      </c>
      <c r="P23" s="182">
        <v>132.69</v>
      </c>
      <c r="Q23" s="526">
        <f>+Q21</f>
        <v>1807.4999999999998</v>
      </c>
      <c r="R23" s="526">
        <f t="shared" ref="R23:R26" si="4">+Q23*P23</f>
        <v>239837.17499999996</v>
      </c>
    </row>
    <row r="24" spans="2:18" x14ac:dyDescent="0.3">
      <c r="B24" s="76" t="s">
        <v>450</v>
      </c>
      <c r="C24" s="390">
        <v>2020</v>
      </c>
      <c r="D24" s="530">
        <v>132.69</v>
      </c>
      <c r="E24" s="526">
        <f>+E23</f>
        <v>1807.4999999999998</v>
      </c>
      <c r="F24" s="526">
        <f t="shared" si="0"/>
        <v>239837.17499999996</v>
      </c>
      <c r="H24" s="76" t="s">
        <v>450</v>
      </c>
      <c r="I24" s="390"/>
      <c r="J24" s="426"/>
      <c r="K24" s="526">
        <f>+K23</f>
        <v>1807.4999999999998</v>
      </c>
      <c r="L24" s="526">
        <f t="shared" si="3"/>
        <v>0</v>
      </c>
      <c r="N24" s="76" t="s">
        <v>450</v>
      </c>
      <c r="O24" s="390">
        <v>2020</v>
      </c>
      <c r="P24" s="182">
        <v>132.69</v>
      </c>
      <c r="Q24" s="526">
        <f>+Q23</f>
        <v>1807.4999999999998</v>
      </c>
      <c r="R24" s="526">
        <f t="shared" si="4"/>
        <v>239837.17499999996</v>
      </c>
    </row>
    <row r="25" spans="2:18" x14ac:dyDescent="0.3">
      <c r="B25" s="76" t="s">
        <v>235</v>
      </c>
      <c r="C25" s="390">
        <v>2020</v>
      </c>
      <c r="D25" s="530">
        <v>132.69</v>
      </c>
      <c r="E25" s="526">
        <f t="shared" ref="E25:E26" si="5">+E24</f>
        <v>1807.4999999999998</v>
      </c>
      <c r="F25" s="526">
        <f t="shared" si="0"/>
        <v>239837.17499999996</v>
      </c>
      <c r="H25" s="76" t="s">
        <v>235</v>
      </c>
      <c r="I25" s="390"/>
      <c r="J25" s="426"/>
      <c r="K25" s="526">
        <f t="shared" ref="K25:K26" si="6">+K24</f>
        <v>1807.4999999999998</v>
      </c>
      <c r="L25" s="526">
        <f t="shared" si="3"/>
        <v>0</v>
      </c>
      <c r="N25" s="76" t="s">
        <v>235</v>
      </c>
      <c r="O25" s="390">
        <v>2019</v>
      </c>
      <c r="P25" s="182">
        <v>132.69</v>
      </c>
      <c r="Q25" s="526">
        <f t="shared" ref="Q25:Q26" si="7">+Q24</f>
        <v>1807.4999999999998</v>
      </c>
      <c r="R25" s="526">
        <f t="shared" si="4"/>
        <v>239837.17499999996</v>
      </c>
    </row>
    <row r="26" spans="2:18" x14ac:dyDescent="0.3">
      <c r="B26" s="76" t="s">
        <v>236</v>
      </c>
      <c r="C26" s="390">
        <v>2020</v>
      </c>
      <c r="D26" s="530">
        <v>132.69</v>
      </c>
      <c r="E26" s="526">
        <f t="shared" si="5"/>
        <v>1807.4999999999998</v>
      </c>
      <c r="F26" s="526">
        <f t="shared" si="0"/>
        <v>239837.17499999996</v>
      </c>
      <c r="H26" s="76" t="s">
        <v>236</v>
      </c>
      <c r="I26" s="390"/>
      <c r="J26" s="426"/>
      <c r="K26" s="526">
        <f t="shared" si="6"/>
        <v>1807.4999999999998</v>
      </c>
      <c r="L26" s="526">
        <f t="shared" si="3"/>
        <v>0</v>
      </c>
      <c r="N26" s="76" t="s">
        <v>236</v>
      </c>
      <c r="O26" s="390">
        <v>2019</v>
      </c>
      <c r="P26" s="182">
        <v>132.69</v>
      </c>
      <c r="Q26" s="526">
        <f t="shared" si="7"/>
        <v>1807.4999999999998</v>
      </c>
      <c r="R26" s="526">
        <f t="shared" si="4"/>
        <v>239837.17499999996</v>
      </c>
    </row>
    <row r="27" spans="2:18" x14ac:dyDescent="0.3">
      <c r="B27" s="77" t="s">
        <v>25</v>
      </c>
      <c r="C27" s="75"/>
      <c r="D27" s="420"/>
      <c r="E27" s="523"/>
      <c r="F27" s="523"/>
      <c r="H27" s="77" t="s">
        <v>25</v>
      </c>
      <c r="I27" s="75"/>
      <c r="J27" s="75"/>
      <c r="K27" s="523"/>
      <c r="L27" s="523"/>
      <c r="N27" s="77" t="s">
        <v>25</v>
      </c>
      <c r="O27" s="75"/>
      <c r="P27" s="75"/>
      <c r="Q27" s="523"/>
      <c r="R27" s="523"/>
    </row>
    <row r="28" spans="2:18" x14ac:dyDescent="0.3">
      <c r="B28" s="76" t="s">
        <v>449</v>
      </c>
      <c r="C28" s="390">
        <v>2020</v>
      </c>
      <c r="D28" s="530">
        <v>135.15</v>
      </c>
      <c r="E28" s="526">
        <f>+E26</f>
        <v>1807.4999999999998</v>
      </c>
      <c r="F28" s="526">
        <f t="shared" si="0"/>
        <v>244283.62499999997</v>
      </c>
      <c r="H28" s="76" t="s">
        <v>449</v>
      </c>
      <c r="I28" s="390"/>
      <c r="J28" s="426"/>
      <c r="K28" s="526">
        <f>+K26</f>
        <v>1807.4999999999998</v>
      </c>
      <c r="L28" s="526">
        <f t="shared" ref="L28:L31" si="8">+K28*J28</f>
        <v>0</v>
      </c>
      <c r="N28" s="76" t="s">
        <v>449</v>
      </c>
      <c r="O28" s="390">
        <v>2020</v>
      </c>
      <c r="P28" s="182">
        <v>135.15</v>
      </c>
      <c r="Q28" s="526">
        <f>+Q26</f>
        <v>1807.4999999999998</v>
      </c>
      <c r="R28" s="526">
        <f t="shared" ref="R28:R31" si="9">+Q28*P28</f>
        <v>244283.62499999997</v>
      </c>
    </row>
    <row r="29" spans="2:18" x14ac:dyDescent="0.3">
      <c r="B29" s="76" t="s">
        <v>448</v>
      </c>
      <c r="C29" s="390">
        <v>2020</v>
      </c>
      <c r="D29" s="530">
        <v>135.15</v>
      </c>
      <c r="E29" s="526">
        <f>+E28</f>
        <v>1807.4999999999998</v>
      </c>
      <c r="F29" s="526">
        <f t="shared" si="0"/>
        <v>244283.62499999997</v>
      </c>
      <c r="H29" s="76" t="s">
        <v>448</v>
      </c>
      <c r="I29" s="390"/>
      <c r="J29" s="426"/>
      <c r="K29" s="526">
        <f>+K28</f>
        <v>1807.4999999999998</v>
      </c>
      <c r="L29" s="526">
        <f t="shared" si="8"/>
        <v>0</v>
      </c>
      <c r="N29" s="76" t="s">
        <v>448</v>
      </c>
      <c r="O29" s="390">
        <v>2020</v>
      </c>
      <c r="P29" s="182">
        <v>135.15</v>
      </c>
      <c r="Q29" s="526">
        <f>+Q28</f>
        <v>1807.4999999999998</v>
      </c>
      <c r="R29" s="526">
        <f t="shared" si="9"/>
        <v>244283.62499999997</v>
      </c>
    </row>
    <row r="30" spans="2:18" x14ac:dyDescent="0.3">
      <c r="B30" s="76" t="s">
        <v>237</v>
      </c>
      <c r="C30" s="390">
        <v>2020</v>
      </c>
      <c r="D30" s="530">
        <v>135.15</v>
      </c>
      <c r="E30" s="526">
        <f>+E29</f>
        <v>1807.4999999999998</v>
      </c>
      <c r="F30" s="526">
        <f t="shared" si="0"/>
        <v>244283.62499999997</v>
      </c>
      <c r="H30" s="76" t="s">
        <v>237</v>
      </c>
      <c r="I30" s="390"/>
      <c r="J30" s="426"/>
      <c r="K30" s="526">
        <f>+K29</f>
        <v>1807.4999999999998</v>
      </c>
      <c r="L30" s="526">
        <f t="shared" si="8"/>
        <v>0</v>
      </c>
      <c r="N30" s="76" t="s">
        <v>237</v>
      </c>
      <c r="O30" s="390">
        <v>2019</v>
      </c>
      <c r="P30" s="182">
        <v>135.15</v>
      </c>
      <c r="Q30" s="526">
        <f>+Q29</f>
        <v>1807.4999999999998</v>
      </c>
      <c r="R30" s="526">
        <f t="shared" si="9"/>
        <v>244283.62499999997</v>
      </c>
    </row>
    <row r="31" spans="2:18" x14ac:dyDescent="0.3">
      <c r="B31" s="76" t="s">
        <v>238</v>
      </c>
      <c r="C31" s="390">
        <v>2020</v>
      </c>
      <c r="D31" s="530">
        <v>135.15</v>
      </c>
      <c r="E31" s="526">
        <f>+E30</f>
        <v>1807.4999999999998</v>
      </c>
      <c r="F31" s="526">
        <f t="shared" si="0"/>
        <v>244283.62499999997</v>
      </c>
      <c r="H31" s="76" t="s">
        <v>238</v>
      </c>
      <c r="I31" s="390"/>
      <c r="J31" s="426"/>
      <c r="K31" s="526">
        <f>+K30</f>
        <v>1807.4999999999998</v>
      </c>
      <c r="L31" s="526">
        <f t="shared" si="8"/>
        <v>0</v>
      </c>
      <c r="N31" s="76" t="s">
        <v>238</v>
      </c>
      <c r="O31" s="390">
        <v>2019</v>
      </c>
      <c r="P31" s="182">
        <v>135.15</v>
      </c>
      <c r="Q31" s="526">
        <f>+Q30</f>
        <v>1807.4999999999998</v>
      </c>
      <c r="R31" s="526">
        <f t="shared" si="9"/>
        <v>244283.62499999997</v>
      </c>
    </row>
    <row r="32" spans="2:18" x14ac:dyDescent="0.3">
      <c r="B32" s="77" t="s">
        <v>16</v>
      </c>
      <c r="C32" s="75"/>
      <c r="D32" s="420"/>
      <c r="E32" s="523"/>
      <c r="F32" s="523"/>
      <c r="H32" s="77" t="s">
        <v>16</v>
      </c>
      <c r="I32" s="75"/>
      <c r="J32" s="75"/>
      <c r="K32" s="523"/>
      <c r="L32" s="523"/>
      <c r="N32" s="13"/>
      <c r="O32" s="13"/>
      <c r="P32" s="13"/>
      <c r="Q32" s="13"/>
      <c r="R32" s="13"/>
    </row>
    <row r="33" spans="2:18" x14ac:dyDescent="0.3">
      <c r="B33" s="76" t="str">
        <f>+B32</f>
        <v>Guaracachi</v>
      </c>
      <c r="C33" s="390">
        <v>2020</v>
      </c>
      <c r="D33" s="530">
        <v>36</v>
      </c>
      <c r="E33" s="526">
        <f>+E31</f>
        <v>1807.4999999999998</v>
      </c>
      <c r="F33" s="526">
        <f t="shared" si="0"/>
        <v>65069.999999999993</v>
      </c>
      <c r="H33" s="76" t="str">
        <f>+H32</f>
        <v>Guaracachi</v>
      </c>
      <c r="I33" s="390"/>
      <c r="J33" s="426"/>
      <c r="K33" s="526">
        <f>+K31</f>
        <v>1807.4999999999998</v>
      </c>
      <c r="L33" s="526">
        <f t="shared" ref="L33" si="10">+K33*J33</f>
        <v>0</v>
      </c>
    </row>
    <row r="34" spans="2:18" x14ac:dyDescent="0.3">
      <c r="B34" s="77" t="s">
        <v>17</v>
      </c>
      <c r="C34" s="75"/>
      <c r="D34" s="420"/>
      <c r="E34" s="523"/>
      <c r="F34" s="523"/>
      <c r="H34" s="77" t="s">
        <v>17</v>
      </c>
      <c r="I34" s="75"/>
      <c r="J34" s="75"/>
      <c r="K34" s="523"/>
      <c r="L34" s="523"/>
    </row>
    <row r="35" spans="2:18" x14ac:dyDescent="0.3">
      <c r="B35" s="76" t="str">
        <f>+B34</f>
        <v>Santa Cruz</v>
      </c>
      <c r="C35" s="390">
        <v>2020</v>
      </c>
      <c r="D35" s="530">
        <v>28</v>
      </c>
      <c r="E35" s="526">
        <f>+E33</f>
        <v>1807.4999999999998</v>
      </c>
      <c r="F35" s="526">
        <f t="shared" si="0"/>
        <v>50609.999999999993</v>
      </c>
      <c r="H35" s="76" t="str">
        <f>+H34</f>
        <v>Santa Cruz</v>
      </c>
      <c r="I35" s="390"/>
      <c r="J35" s="426"/>
      <c r="K35" s="526">
        <f>+K33</f>
        <v>1807.4999999999998</v>
      </c>
      <c r="L35" s="526">
        <f t="shared" ref="L35" si="11">+K35*J35</f>
        <v>0</v>
      </c>
    </row>
    <row r="36" spans="2:18" x14ac:dyDescent="0.3">
      <c r="B36" s="77" t="s">
        <v>18</v>
      </c>
      <c r="C36" s="75"/>
      <c r="D36" s="420"/>
      <c r="E36" s="523"/>
      <c r="F36" s="523"/>
      <c r="H36" s="77" t="s">
        <v>18</v>
      </c>
      <c r="I36" s="75"/>
      <c r="J36" s="75"/>
      <c r="K36" s="523"/>
      <c r="L36" s="523"/>
    </row>
    <row r="37" spans="2:18" x14ac:dyDescent="0.3">
      <c r="B37" s="76" t="str">
        <f>+B36</f>
        <v>Carrasco</v>
      </c>
      <c r="C37" s="390">
        <v>2020</v>
      </c>
      <c r="D37" s="530">
        <v>52</v>
      </c>
      <c r="E37" s="526">
        <f>+E35</f>
        <v>1807.4999999999998</v>
      </c>
      <c r="F37" s="526">
        <f t="shared" si="0"/>
        <v>93989.999999999985</v>
      </c>
      <c r="H37" s="76" t="str">
        <f>+H36</f>
        <v>Carrasco</v>
      </c>
      <c r="I37" s="390"/>
      <c r="J37" s="426"/>
      <c r="K37" s="526">
        <f>+K35</f>
        <v>1807.4999999999998</v>
      </c>
      <c r="L37" s="526">
        <f t="shared" ref="L37" si="12">+K37*J37</f>
        <v>0</v>
      </c>
    </row>
    <row r="38" spans="2:18" x14ac:dyDescent="0.3">
      <c r="B38" s="77" t="s">
        <v>479</v>
      </c>
      <c r="C38" s="75"/>
      <c r="D38" s="420"/>
      <c r="E38" s="523"/>
      <c r="F38" s="523"/>
      <c r="H38" s="77" t="s">
        <v>479</v>
      </c>
      <c r="I38" s="75"/>
      <c r="J38" s="75"/>
      <c r="K38" s="523"/>
      <c r="L38" s="523"/>
    </row>
    <row r="39" spans="2:18" x14ac:dyDescent="0.3">
      <c r="B39" s="76" t="str">
        <f>+B38</f>
        <v>Natural Gas A</v>
      </c>
      <c r="C39" s="390"/>
      <c r="D39" s="391"/>
      <c r="E39" s="522"/>
      <c r="F39" s="522"/>
      <c r="H39" s="76" t="str">
        <f>+H38</f>
        <v>Natural Gas A</v>
      </c>
      <c r="I39" s="390"/>
      <c r="J39" s="182"/>
      <c r="K39" s="522"/>
      <c r="L39" s="522"/>
    </row>
    <row r="40" spans="2:18" x14ac:dyDescent="0.3">
      <c r="B40" s="77" t="s">
        <v>480</v>
      </c>
      <c r="C40" s="75"/>
      <c r="D40" s="420"/>
      <c r="E40" s="523"/>
      <c r="F40" s="523"/>
      <c r="H40" s="77" t="s">
        <v>480</v>
      </c>
      <c r="I40" s="75"/>
      <c r="J40" s="75"/>
      <c r="K40" s="523"/>
      <c r="L40" s="523"/>
    </row>
    <row r="41" spans="2:18" x14ac:dyDescent="0.3">
      <c r="B41" s="76" t="str">
        <f>+B40</f>
        <v>Natural Gas B</v>
      </c>
      <c r="C41" s="390"/>
      <c r="D41" s="391"/>
      <c r="E41" s="522"/>
      <c r="F41" s="522"/>
      <c r="H41" s="76" t="str">
        <f>+H40</f>
        <v>Natural Gas B</v>
      </c>
      <c r="I41" s="390"/>
      <c r="J41" s="182"/>
      <c r="K41" s="522"/>
      <c r="L41" s="522"/>
    </row>
    <row r="42" spans="2:18" x14ac:dyDescent="0.3">
      <c r="B42" s="13"/>
      <c r="C42" s="13"/>
      <c r="D42" s="28"/>
      <c r="E42" s="13"/>
      <c r="F42" s="13"/>
      <c r="H42" s="13"/>
      <c r="I42" s="13"/>
      <c r="J42" s="13"/>
      <c r="K42" s="13"/>
      <c r="L42" s="13"/>
    </row>
    <row r="43" spans="2:18" ht="28.8" x14ac:dyDescent="0.3">
      <c r="B43" s="84" t="s">
        <v>164</v>
      </c>
      <c r="C43" s="80" t="s">
        <v>279</v>
      </c>
      <c r="D43" s="389" t="s">
        <v>397</v>
      </c>
      <c r="E43" s="389" t="s">
        <v>535</v>
      </c>
      <c r="F43" s="397" t="s">
        <v>536</v>
      </c>
      <c r="H43" s="84" t="s">
        <v>164</v>
      </c>
      <c r="I43" s="80" t="s">
        <v>279</v>
      </c>
      <c r="J43" s="389" t="s">
        <v>397</v>
      </c>
      <c r="K43" s="389" t="s">
        <v>535</v>
      </c>
      <c r="L43" s="397" t="s">
        <v>536</v>
      </c>
      <c r="N43" s="84" t="s">
        <v>164</v>
      </c>
      <c r="O43" s="80" t="s">
        <v>279</v>
      </c>
      <c r="P43" s="389" t="s">
        <v>397</v>
      </c>
      <c r="Q43" s="389" t="s">
        <v>535</v>
      </c>
      <c r="R43" s="397" t="s">
        <v>536</v>
      </c>
    </row>
    <row r="44" spans="2:18" x14ac:dyDescent="0.3">
      <c r="B44" s="82" t="s">
        <v>0</v>
      </c>
      <c r="C44" s="82"/>
      <c r="D44" s="531"/>
      <c r="E44" s="82"/>
      <c r="F44" s="82"/>
      <c r="H44" s="82" t="s">
        <v>0</v>
      </c>
      <c r="I44" s="82"/>
      <c r="J44" s="82"/>
      <c r="K44" s="82"/>
      <c r="L44" s="82"/>
      <c r="N44" s="82" t="s">
        <v>0</v>
      </c>
      <c r="O44" s="82"/>
      <c r="P44" s="82"/>
      <c r="Q44" s="82"/>
      <c r="R44" s="82"/>
    </row>
    <row r="45" spans="2:18" x14ac:dyDescent="0.3">
      <c r="B45" s="57" t="s">
        <v>41</v>
      </c>
      <c r="C45" s="57"/>
      <c r="D45" s="392"/>
      <c r="E45" s="57"/>
      <c r="F45" s="57"/>
      <c r="H45" s="57" t="s">
        <v>41</v>
      </c>
      <c r="I45" s="57"/>
      <c r="J45" s="57"/>
      <c r="K45" s="57"/>
      <c r="L45" s="57"/>
      <c r="N45" s="57" t="s">
        <v>41</v>
      </c>
      <c r="O45" s="57"/>
      <c r="P45" s="57"/>
      <c r="Q45" s="57"/>
      <c r="R45" s="57"/>
    </row>
    <row r="46" spans="2:18" x14ac:dyDescent="0.3">
      <c r="B46" s="47" t="s">
        <v>407</v>
      </c>
      <c r="C46" s="110">
        <v>2018</v>
      </c>
      <c r="D46" s="526">
        <v>55</v>
      </c>
      <c r="E46" s="522">
        <v>2500</v>
      </c>
      <c r="F46" s="522">
        <f>+E46*D46</f>
        <v>137500</v>
      </c>
      <c r="H46" s="47" t="s">
        <v>407</v>
      </c>
      <c r="I46" s="110">
        <v>2018</v>
      </c>
      <c r="J46" s="426">
        <v>55</v>
      </c>
      <c r="K46" s="522">
        <v>2500</v>
      </c>
      <c r="L46" s="522">
        <f>+K46*J46</f>
        <v>137500</v>
      </c>
      <c r="N46" s="47" t="s">
        <v>407</v>
      </c>
      <c r="O46" s="110">
        <v>2018</v>
      </c>
      <c r="P46" s="110">
        <v>55</v>
      </c>
      <c r="Q46" s="522">
        <v>2500</v>
      </c>
      <c r="R46" s="522">
        <f>+Q46*P46</f>
        <v>137500</v>
      </c>
    </row>
    <row r="47" spans="2:18" x14ac:dyDescent="0.3">
      <c r="B47" s="47" t="s">
        <v>408</v>
      </c>
      <c r="C47" s="110">
        <v>2019</v>
      </c>
      <c r="D47" s="526">
        <v>69</v>
      </c>
      <c r="E47" s="522">
        <f>+E46</f>
        <v>2500</v>
      </c>
      <c r="F47" s="522">
        <f>+E47*D47</f>
        <v>172500</v>
      </c>
      <c r="H47" s="47" t="s">
        <v>408</v>
      </c>
      <c r="I47" s="110">
        <v>2019</v>
      </c>
      <c r="J47" s="426">
        <v>69</v>
      </c>
      <c r="K47" s="522">
        <f>+K46</f>
        <v>2500</v>
      </c>
      <c r="L47" s="522">
        <f>+K47*J47</f>
        <v>172500</v>
      </c>
      <c r="N47" s="47" t="s">
        <v>408</v>
      </c>
      <c r="O47" s="110">
        <v>2019</v>
      </c>
      <c r="P47" s="110">
        <v>69</v>
      </c>
      <c r="Q47" s="522">
        <f>+Q46</f>
        <v>2500</v>
      </c>
      <c r="R47" s="522">
        <f>+Q47*P47</f>
        <v>172500</v>
      </c>
    </row>
    <row r="48" spans="2:18" x14ac:dyDescent="0.3">
      <c r="B48" s="57" t="s">
        <v>61</v>
      </c>
      <c r="C48" s="57"/>
      <c r="D48" s="525"/>
      <c r="E48" s="524"/>
      <c r="F48" s="524"/>
      <c r="H48" s="57" t="s">
        <v>61</v>
      </c>
      <c r="I48" s="57"/>
      <c r="J48" s="432"/>
      <c r="K48" s="524"/>
      <c r="L48" s="524"/>
      <c r="N48" s="57" t="s">
        <v>61</v>
      </c>
      <c r="O48" s="57"/>
      <c r="P48" s="57"/>
      <c r="Q48" s="524"/>
      <c r="R48" s="524"/>
    </row>
    <row r="49" spans="2:18" x14ac:dyDescent="0.3">
      <c r="B49" s="47" t="s">
        <v>61</v>
      </c>
      <c r="C49" s="110">
        <v>2021</v>
      </c>
      <c r="D49" s="526">
        <v>198.6</v>
      </c>
      <c r="E49" s="522">
        <f>+E47</f>
        <v>2500</v>
      </c>
      <c r="F49" s="522">
        <f>+E49*D49</f>
        <v>496500</v>
      </c>
      <c r="H49" s="47" t="s">
        <v>61</v>
      </c>
      <c r="I49" s="110">
        <v>2021</v>
      </c>
      <c r="J49" s="426">
        <v>198.6</v>
      </c>
      <c r="K49" s="522">
        <f>+K47</f>
        <v>2500</v>
      </c>
      <c r="L49" s="522">
        <f>+K49*J49</f>
        <v>496500</v>
      </c>
      <c r="N49" s="47" t="s">
        <v>61</v>
      </c>
      <c r="O49" s="110">
        <v>2021</v>
      </c>
      <c r="P49" s="110">
        <v>198.6</v>
      </c>
      <c r="Q49" s="522">
        <f>+Q47</f>
        <v>2500</v>
      </c>
      <c r="R49" s="522">
        <f>+Q49*P49</f>
        <v>496500</v>
      </c>
    </row>
    <row r="50" spans="2:18" x14ac:dyDescent="0.3">
      <c r="B50" s="57" t="s">
        <v>62</v>
      </c>
      <c r="C50" s="57"/>
      <c r="D50" s="525"/>
      <c r="E50" s="524"/>
      <c r="F50" s="524"/>
      <c r="H50" s="57" t="s">
        <v>62</v>
      </c>
      <c r="I50" s="57"/>
      <c r="J50" s="432"/>
      <c r="K50" s="524"/>
      <c r="L50" s="524"/>
      <c r="N50" s="57" t="s">
        <v>62</v>
      </c>
      <c r="O50" s="57"/>
      <c r="P50" s="57"/>
      <c r="Q50" s="524"/>
      <c r="R50" s="524"/>
    </row>
    <row r="51" spans="2:18" x14ac:dyDescent="0.3">
      <c r="B51" s="47" t="s">
        <v>62</v>
      </c>
      <c r="C51" s="110">
        <v>2021</v>
      </c>
      <c r="D51" s="526">
        <v>91.6</v>
      </c>
      <c r="E51" s="522">
        <f>+E49</f>
        <v>2500</v>
      </c>
      <c r="F51" s="522">
        <f>+E51*D51</f>
        <v>229000</v>
      </c>
      <c r="H51" s="47" t="s">
        <v>62</v>
      </c>
      <c r="I51" s="110">
        <v>2021</v>
      </c>
      <c r="J51" s="426">
        <v>91.6</v>
      </c>
      <c r="K51" s="522">
        <f>+K49</f>
        <v>2500</v>
      </c>
      <c r="L51" s="522">
        <f>+K51*J51</f>
        <v>229000</v>
      </c>
      <c r="N51" s="47" t="s">
        <v>62</v>
      </c>
      <c r="O51" s="110">
        <v>2021</v>
      </c>
      <c r="P51" s="110">
        <v>91.6</v>
      </c>
      <c r="Q51" s="522">
        <f>+Q49</f>
        <v>2500</v>
      </c>
      <c r="R51" s="522">
        <f>+Q51*P51</f>
        <v>229000</v>
      </c>
    </row>
    <row r="52" spans="2:18" x14ac:dyDescent="0.3">
      <c r="B52" s="57" t="s">
        <v>63</v>
      </c>
      <c r="C52" s="57"/>
      <c r="D52" s="525"/>
      <c r="E52" s="524"/>
      <c r="F52" s="524"/>
      <c r="H52" s="57" t="s">
        <v>63</v>
      </c>
      <c r="I52" s="57"/>
      <c r="J52" s="432"/>
      <c r="K52" s="524"/>
      <c r="L52" s="524"/>
      <c r="N52" s="57" t="s">
        <v>63</v>
      </c>
      <c r="O52" s="57"/>
      <c r="P52" s="57"/>
      <c r="Q52" s="524"/>
      <c r="R52" s="524"/>
    </row>
    <row r="53" spans="2:18" x14ac:dyDescent="0.3">
      <c r="B53" s="47" t="s">
        <v>63</v>
      </c>
      <c r="C53" s="110">
        <v>2021</v>
      </c>
      <c r="D53" s="526">
        <v>85.8</v>
      </c>
      <c r="E53" s="522">
        <f>+E51</f>
        <v>2500</v>
      </c>
      <c r="F53" s="522">
        <f>+E53*D53</f>
        <v>214500</v>
      </c>
      <c r="H53" s="47" t="s">
        <v>63</v>
      </c>
      <c r="I53" s="110">
        <v>2021</v>
      </c>
      <c r="J53" s="426">
        <v>85.8</v>
      </c>
      <c r="K53" s="522">
        <f>+K51</f>
        <v>2500</v>
      </c>
      <c r="L53" s="522">
        <f>+K53*J53</f>
        <v>214500</v>
      </c>
      <c r="N53" s="47" t="s">
        <v>63</v>
      </c>
      <c r="O53" s="110">
        <v>2021</v>
      </c>
      <c r="P53" s="110">
        <v>85.8</v>
      </c>
      <c r="Q53" s="522">
        <f>+Q51</f>
        <v>2500</v>
      </c>
      <c r="R53" s="522">
        <f>+Q53*P53</f>
        <v>214500</v>
      </c>
    </row>
    <row r="54" spans="2:18" x14ac:dyDescent="0.3">
      <c r="B54" s="57" t="s">
        <v>64</v>
      </c>
      <c r="C54" s="57"/>
      <c r="D54" s="525"/>
      <c r="E54" s="524"/>
      <c r="F54" s="524"/>
      <c r="H54" s="57" t="s">
        <v>64</v>
      </c>
      <c r="I54" s="57"/>
      <c r="J54" s="432"/>
      <c r="K54" s="524"/>
      <c r="L54" s="524"/>
      <c r="N54" s="57" t="s">
        <v>64</v>
      </c>
      <c r="O54" s="57"/>
      <c r="P54" s="57"/>
      <c r="Q54" s="524"/>
      <c r="R54" s="524"/>
    </row>
    <row r="55" spans="2:18" x14ac:dyDescent="0.3">
      <c r="B55" s="47" t="s">
        <v>64</v>
      </c>
      <c r="C55" s="110">
        <v>2021</v>
      </c>
      <c r="D55" s="526">
        <v>118.2</v>
      </c>
      <c r="E55" s="522">
        <f>+E53</f>
        <v>2500</v>
      </c>
      <c r="F55" s="522">
        <f>+E55*D55</f>
        <v>295500</v>
      </c>
      <c r="H55" s="47" t="s">
        <v>64</v>
      </c>
      <c r="I55" s="110">
        <v>2021</v>
      </c>
      <c r="J55" s="426">
        <v>118.2</v>
      </c>
      <c r="K55" s="522">
        <f>+K53</f>
        <v>2500</v>
      </c>
      <c r="L55" s="522">
        <f>+K55*J55</f>
        <v>295500</v>
      </c>
      <c r="N55" s="47" t="s">
        <v>64</v>
      </c>
      <c r="O55" s="110">
        <v>2021</v>
      </c>
      <c r="P55" s="110">
        <v>118.2</v>
      </c>
      <c r="Q55" s="522">
        <f>+Q53</f>
        <v>2500</v>
      </c>
      <c r="R55" s="522">
        <f>+Q55*P55</f>
        <v>295500</v>
      </c>
    </row>
    <row r="56" spans="2:18" x14ac:dyDescent="0.3">
      <c r="B56" s="57" t="s">
        <v>250</v>
      </c>
      <c r="C56" s="57"/>
      <c r="D56" s="525"/>
      <c r="E56" s="524"/>
      <c r="F56" s="524"/>
      <c r="H56" s="57" t="s">
        <v>250</v>
      </c>
      <c r="I56" s="57"/>
      <c r="J56" s="432"/>
      <c r="K56" s="524"/>
      <c r="L56" s="524"/>
      <c r="N56" s="57" t="s">
        <v>412</v>
      </c>
      <c r="O56" s="57"/>
      <c r="P56" s="57"/>
      <c r="Q56" s="524"/>
      <c r="R56" s="524"/>
    </row>
    <row r="57" spans="2:18" x14ac:dyDescent="0.3">
      <c r="B57" s="47" t="str">
        <f>+B56</f>
        <v>Ivirizu</v>
      </c>
      <c r="C57" s="110">
        <v>2020</v>
      </c>
      <c r="D57" s="526">
        <v>253.9</v>
      </c>
      <c r="E57" s="522">
        <f>+E55</f>
        <v>2500</v>
      </c>
      <c r="F57" s="522">
        <f>+E57*D57</f>
        <v>634750</v>
      </c>
      <c r="H57" s="47" t="str">
        <f>+H56</f>
        <v>Ivirizu</v>
      </c>
      <c r="I57" s="110">
        <v>2020</v>
      </c>
      <c r="J57" s="426">
        <v>253.9</v>
      </c>
      <c r="K57" s="522">
        <f>+K55</f>
        <v>2500</v>
      </c>
      <c r="L57" s="522">
        <f>+K57*J57</f>
        <v>634750</v>
      </c>
      <c r="N57" s="47" t="s">
        <v>416</v>
      </c>
      <c r="O57" s="110">
        <v>2029</v>
      </c>
      <c r="P57" s="110">
        <v>250</v>
      </c>
      <c r="Q57" s="522">
        <f>+Q55</f>
        <v>2500</v>
      </c>
      <c r="R57" s="522">
        <f>+Q57*P57</f>
        <v>625000</v>
      </c>
    </row>
    <row r="58" spans="2:18" x14ac:dyDescent="0.3">
      <c r="B58" s="57" t="s">
        <v>251</v>
      </c>
      <c r="C58" s="57"/>
      <c r="D58" s="525"/>
      <c r="E58" s="524"/>
      <c r="F58" s="524"/>
      <c r="H58" s="57" t="s">
        <v>251</v>
      </c>
      <c r="I58" s="57"/>
      <c r="J58" s="432"/>
      <c r="K58" s="524"/>
      <c r="L58" s="524"/>
      <c r="N58" s="57" t="s">
        <v>413</v>
      </c>
      <c r="O58" s="57"/>
      <c r="P58" s="57"/>
      <c r="Q58" s="524"/>
      <c r="R58" s="524"/>
    </row>
    <row r="59" spans="2:18" x14ac:dyDescent="0.3">
      <c r="B59" s="47" t="str">
        <f>+B58</f>
        <v>Banda Azul</v>
      </c>
      <c r="C59" s="110">
        <v>2020</v>
      </c>
      <c r="D59" s="526">
        <v>93</v>
      </c>
      <c r="E59" s="522">
        <f>+E57</f>
        <v>2500</v>
      </c>
      <c r="F59" s="522">
        <f>+E59*D59</f>
        <v>232500</v>
      </c>
      <c r="H59" s="47" t="str">
        <f>+H58</f>
        <v>Banda Azul</v>
      </c>
      <c r="I59" s="110">
        <v>2020</v>
      </c>
      <c r="J59" s="426">
        <v>93</v>
      </c>
      <c r="K59" s="522">
        <f>+K57</f>
        <v>2500</v>
      </c>
      <c r="L59" s="522">
        <f>+K59*J59</f>
        <v>232500</v>
      </c>
      <c r="N59" s="47" t="s">
        <v>414</v>
      </c>
      <c r="O59" s="110">
        <v>2030</v>
      </c>
      <c r="P59" s="110">
        <v>90</v>
      </c>
      <c r="Q59" s="522">
        <f>+Q57</f>
        <v>2500</v>
      </c>
      <c r="R59" s="522">
        <f>+Q59*P59</f>
        <v>225000</v>
      </c>
    </row>
    <row r="60" spans="2:18" x14ac:dyDescent="0.3">
      <c r="B60" s="57" t="s">
        <v>469</v>
      </c>
      <c r="C60" s="57"/>
      <c r="D60" s="525"/>
      <c r="E60" s="524"/>
      <c r="F60" s="524"/>
      <c r="H60" s="57" t="s">
        <v>469</v>
      </c>
      <c r="I60" s="57"/>
      <c r="J60" s="432"/>
      <c r="K60" s="524"/>
      <c r="L60" s="524"/>
      <c r="N60" s="57" t="s">
        <v>415</v>
      </c>
      <c r="O60" s="57"/>
      <c r="P60" s="57"/>
      <c r="Q60" s="57"/>
      <c r="R60" s="57"/>
    </row>
    <row r="61" spans="2:18" x14ac:dyDescent="0.3">
      <c r="B61" s="47" t="str">
        <f>+B60</f>
        <v>Pequenas centrales</v>
      </c>
      <c r="C61" s="110">
        <v>2020</v>
      </c>
      <c r="D61" s="526">
        <v>200</v>
      </c>
      <c r="E61" s="522">
        <f>+E59</f>
        <v>2500</v>
      </c>
      <c r="F61" s="522">
        <f>+E61*D61</f>
        <v>500000</v>
      </c>
      <c r="H61" s="47" t="str">
        <f>+H60</f>
        <v>Pequenas centrales</v>
      </c>
      <c r="I61" s="110">
        <v>2020</v>
      </c>
      <c r="J61" s="426">
        <v>200</v>
      </c>
      <c r="K61" s="522">
        <f>+K59</f>
        <v>2500</v>
      </c>
      <c r="L61" s="522">
        <f>+K61*J61</f>
        <v>500000</v>
      </c>
      <c r="N61" s="47" t="s">
        <v>417</v>
      </c>
      <c r="O61" s="110"/>
      <c r="P61" s="110"/>
      <c r="Q61" s="110"/>
      <c r="R61" s="110"/>
    </row>
    <row r="62" spans="2:18" x14ac:dyDescent="0.3">
      <c r="B62" s="57" t="s">
        <v>252</v>
      </c>
      <c r="C62" s="57"/>
      <c r="D62" s="525"/>
      <c r="E62" s="524"/>
      <c r="F62" s="524"/>
      <c r="H62" s="57" t="s">
        <v>252</v>
      </c>
      <c r="I62" s="57"/>
      <c r="J62" s="432"/>
      <c r="K62" s="524"/>
      <c r="L62" s="524"/>
      <c r="N62" s="57" t="s">
        <v>434</v>
      </c>
      <c r="O62" s="57"/>
      <c r="P62" s="57"/>
      <c r="Q62" s="57"/>
      <c r="R62" s="57"/>
    </row>
    <row r="63" spans="2:18" x14ac:dyDescent="0.3">
      <c r="B63" s="47" t="str">
        <f>+B62</f>
        <v>Carrizal</v>
      </c>
      <c r="C63" s="110">
        <v>2025</v>
      </c>
      <c r="D63" s="526">
        <v>347</v>
      </c>
      <c r="E63" s="522">
        <f>+E61</f>
        <v>2500</v>
      </c>
      <c r="F63" s="522">
        <f>+E63*D63</f>
        <v>867500</v>
      </c>
      <c r="H63" s="47" t="str">
        <f>+H62</f>
        <v>Carrizal</v>
      </c>
      <c r="I63" s="110">
        <v>2025</v>
      </c>
      <c r="J63" s="426">
        <v>347</v>
      </c>
      <c r="K63" s="522">
        <f>+K61</f>
        <v>2500</v>
      </c>
      <c r="L63" s="522">
        <f>+K63*J63</f>
        <v>867500</v>
      </c>
      <c r="N63" s="47" t="s">
        <v>435</v>
      </c>
      <c r="O63" s="110"/>
      <c r="P63" s="110"/>
      <c r="Q63" s="110"/>
      <c r="R63" s="110"/>
    </row>
    <row r="64" spans="2:18" x14ac:dyDescent="0.3">
      <c r="B64" s="57" t="s">
        <v>256</v>
      </c>
      <c r="C64" s="57"/>
      <c r="D64" s="525"/>
      <c r="E64" s="524"/>
      <c r="F64" s="524"/>
      <c r="H64" s="57" t="s">
        <v>256</v>
      </c>
      <c r="I64" s="57"/>
      <c r="J64" s="432"/>
      <c r="K64" s="524"/>
      <c r="L64" s="524"/>
      <c r="N64" s="57" t="s">
        <v>436</v>
      </c>
      <c r="O64" s="57"/>
      <c r="P64" s="57"/>
      <c r="Q64" s="57"/>
      <c r="R64" s="57"/>
    </row>
    <row r="65" spans="2:18" x14ac:dyDescent="0.3">
      <c r="B65" s="47" t="str">
        <f>+B64</f>
        <v>Cambari</v>
      </c>
      <c r="C65" s="110">
        <v>2025</v>
      </c>
      <c r="D65" s="526">
        <v>93</v>
      </c>
      <c r="E65" s="522">
        <f>+E63</f>
        <v>2500</v>
      </c>
      <c r="F65" s="522">
        <f>+E65*D65</f>
        <v>232500</v>
      </c>
      <c r="H65" s="47" t="str">
        <f>+H64</f>
        <v>Cambari</v>
      </c>
      <c r="I65" s="110">
        <v>2025</v>
      </c>
      <c r="J65" s="426">
        <v>93</v>
      </c>
      <c r="K65" s="522">
        <f>+K63</f>
        <v>2500</v>
      </c>
      <c r="L65" s="522">
        <f>+K65*J65</f>
        <v>232500</v>
      </c>
      <c r="N65" s="47" t="s">
        <v>437</v>
      </c>
      <c r="O65" s="110"/>
      <c r="P65" s="110"/>
      <c r="Q65" s="110"/>
      <c r="R65" s="110"/>
    </row>
    <row r="66" spans="2:18" x14ac:dyDescent="0.3">
      <c r="B66" s="57" t="s">
        <v>257</v>
      </c>
      <c r="C66" s="57"/>
      <c r="D66" s="525"/>
      <c r="E66" s="524"/>
      <c r="F66" s="524"/>
      <c r="H66" s="57" t="s">
        <v>257</v>
      </c>
      <c r="I66" s="57"/>
      <c r="J66" s="432"/>
      <c r="K66" s="524"/>
      <c r="L66" s="524"/>
      <c r="N66" s="57" t="s">
        <v>438</v>
      </c>
      <c r="O66" s="57"/>
      <c r="P66" s="57"/>
      <c r="Q66" s="57"/>
      <c r="R66" s="57"/>
    </row>
    <row r="67" spans="2:18" x14ac:dyDescent="0.3">
      <c r="B67" s="47" t="str">
        <f>+B66</f>
        <v>Cuenca Corani</v>
      </c>
      <c r="C67" s="110">
        <v>2025</v>
      </c>
      <c r="D67" s="526">
        <v>220</v>
      </c>
      <c r="E67" s="522">
        <f>+E65</f>
        <v>2500</v>
      </c>
      <c r="F67" s="522">
        <f>+E67*D67</f>
        <v>550000</v>
      </c>
      <c r="H67" s="47" t="str">
        <f>+H66</f>
        <v>Cuenca Corani</v>
      </c>
      <c r="I67" s="110">
        <v>2025</v>
      </c>
      <c r="J67" s="426">
        <v>220</v>
      </c>
      <c r="K67" s="522">
        <f>+K65</f>
        <v>2500</v>
      </c>
      <c r="L67" s="522">
        <f>+K67*J67</f>
        <v>550000</v>
      </c>
      <c r="N67" s="47" t="s">
        <v>439</v>
      </c>
      <c r="O67" s="110"/>
      <c r="P67" s="110"/>
      <c r="Q67" s="110"/>
      <c r="R67" s="110"/>
    </row>
    <row r="68" spans="2:18" x14ac:dyDescent="0.3">
      <c r="B68" s="57" t="s">
        <v>470</v>
      </c>
      <c r="C68" s="57"/>
      <c r="D68" s="525"/>
      <c r="E68" s="524"/>
      <c r="F68" s="524"/>
      <c r="H68" s="57" t="s">
        <v>470</v>
      </c>
      <c r="I68" s="57"/>
      <c r="J68" s="432"/>
      <c r="K68" s="524"/>
      <c r="L68" s="524"/>
      <c r="N68" s="113"/>
      <c r="O68" s="28"/>
      <c r="P68" s="28"/>
      <c r="Q68" s="28"/>
      <c r="R68" s="28"/>
    </row>
    <row r="69" spans="2:18" x14ac:dyDescent="0.3">
      <c r="B69" s="47" t="str">
        <f>+B68</f>
        <v>Moliineros</v>
      </c>
      <c r="C69" s="110">
        <v>2025</v>
      </c>
      <c r="D69" s="526">
        <v>132</v>
      </c>
      <c r="E69" s="522">
        <f>+E67</f>
        <v>2500</v>
      </c>
      <c r="F69" s="522">
        <f>+E69*D69</f>
        <v>330000</v>
      </c>
      <c r="H69" s="47" t="str">
        <f>+H68</f>
        <v>Moliineros</v>
      </c>
      <c r="I69" s="110">
        <v>2025</v>
      </c>
      <c r="J69" s="426">
        <v>132</v>
      </c>
      <c r="K69" s="522">
        <f>+K67</f>
        <v>2500</v>
      </c>
      <c r="L69" s="522">
        <f>+K69*J69</f>
        <v>330000</v>
      </c>
      <c r="N69" s="13"/>
      <c r="O69" s="13"/>
      <c r="P69" s="13"/>
      <c r="Q69" s="13"/>
      <c r="R69" s="13"/>
    </row>
    <row r="70" spans="2:18" x14ac:dyDescent="0.3">
      <c r="B70" s="57" t="s">
        <v>254</v>
      </c>
      <c r="C70" s="57"/>
      <c r="D70" s="525"/>
      <c r="E70" s="524"/>
      <c r="F70" s="524"/>
      <c r="H70" s="57" t="s">
        <v>254</v>
      </c>
      <c r="I70" s="57"/>
      <c r="J70" s="432"/>
      <c r="K70" s="524"/>
      <c r="L70" s="524"/>
    </row>
    <row r="71" spans="2:18" x14ac:dyDescent="0.3">
      <c r="B71" s="47" t="str">
        <f>+B70</f>
        <v>Rositas</v>
      </c>
      <c r="C71" s="110">
        <v>2025</v>
      </c>
      <c r="D71" s="526">
        <v>600</v>
      </c>
      <c r="E71" s="522">
        <f>+E69</f>
        <v>2500</v>
      </c>
      <c r="F71" s="522">
        <f>+E71*D71</f>
        <v>1500000</v>
      </c>
      <c r="H71" s="47" t="str">
        <f>+H70</f>
        <v>Rositas</v>
      </c>
      <c r="I71" s="110">
        <v>2025</v>
      </c>
      <c r="J71" s="426">
        <v>600</v>
      </c>
      <c r="K71" s="522">
        <f>+K69</f>
        <v>2500</v>
      </c>
      <c r="L71" s="522">
        <f>+K71*J71</f>
        <v>1500000</v>
      </c>
    </row>
    <row r="72" spans="2:18" x14ac:dyDescent="0.3">
      <c r="B72" s="57" t="s">
        <v>303</v>
      </c>
      <c r="C72" s="57"/>
      <c r="D72" s="525"/>
      <c r="E72" s="524"/>
      <c r="F72" s="524"/>
      <c r="H72" s="57" t="s">
        <v>303</v>
      </c>
      <c r="I72" s="57"/>
      <c r="J72" s="432"/>
      <c r="K72" s="524"/>
      <c r="L72" s="524"/>
    </row>
    <row r="73" spans="2:18" x14ac:dyDescent="0.3">
      <c r="B73" s="47" t="str">
        <f>+B72</f>
        <v>Icla</v>
      </c>
      <c r="C73" s="110">
        <v>2029</v>
      </c>
      <c r="D73" s="526">
        <v>102</v>
      </c>
      <c r="E73" s="522">
        <f>+E71</f>
        <v>2500</v>
      </c>
      <c r="F73" s="522">
        <f>+E73*D73</f>
        <v>255000</v>
      </c>
      <c r="H73" s="47" t="str">
        <f>+H72</f>
        <v>Icla</v>
      </c>
      <c r="I73" s="110">
        <v>2029</v>
      </c>
      <c r="J73" s="426">
        <v>102</v>
      </c>
      <c r="K73" s="522">
        <f>+K71</f>
        <v>2500</v>
      </c>
      <c r="L73" s="522">
        <f>+K73*J73</f>
        <v>255000</v>
      </c>
    </row>
    <row r="74" spans="2:18" x14ac:dyDescent="0.3">
      <c r="B74" s="57" t="s">
        <v>304</v>
      </c>
      <c r="C74" s="57"/>
      <c r="D74" s="525"/>
      <c r="E74" s="524"/>
      <c r="F74" s="524"/>
      <c r="H74" s="57" t="s">
        <v>304</v>
      </c>
      <c r="I74" s="57"/>
      <c r="J74" s="432"/>
      <c r="K74" s="524"/>
      <c r="L74" s="524"/>
    </row>
    <row r="75" spans="2:18" x14ac:dyDescent="0.3">
      <c r="B75" s="47" t="str">
        <f>+B74</f>
        <v>Margarita</v>
      </c>
      <c r="C75" s="110">
        <v>2029</v>
      </c>
      <c r="D75" s="526">
        <v>150</v>
      </c>
      <c r="E75" s="522">
        <f>+E73</f>
        <v>2500</v>
      </c>
      <c r="F75" s="522">
        <f>+E75*D75</f>
        <v>375000</v>
      </c>
      <c r="H75" s="47" t="str">
        <f>+H74</f>
        <v>Margarita</v>
      </c>
      <c r="I75" s="110">
        <v>2029</v>
      </c>
      <c r="J75" s="426">
        <v>150</v>
      </c>
      <c r="K75" s="522">
        <f>+K73</f>
        <v>2500</v>
      </c>
      <c r="L75" s="522">
        <f>+K75*J75</f>
        <v>375000</v>
      </c>
    </row>
    <row r="76" spans="2:18" x14ac:dyDescent="0.3">
      <c r="B76" s="57" t="s">
        <v>305</v>
      </c>
      <c r="C76" s="57"/>
      <c r="D76" s="525"/>
      <c r="E76" s="524"/>
      <c r="F76" s="524"/>
      <c r="H76" s="57" t="s">
        <v>305</v>
      </c>
      <c r="I76" s="57"/>
      <c r="J76" s="432"/>
      <c r="K76" s="524"/>
      <c r="L76" s="524"/>
    </row>
    <row r="77" spans="2:18" x14ac:dyDescent="0.3">
      <c r="B77" s="47" t="str">
        <f>+B76</f>
        <v>Río Grande (excl. Juntas)</v>
      </c>
      <c r="C77" s="110">
        <v>2029</v>
      </c>
      <c r="D77" s="526">
        <f>3072-172</f>
        <v>2900</v>
      </c>
      <c r="E77" s="522">
        <f>+E75</f>
        <v>2500</v>
      </c>
      <c r="F77" s="522">
        <f>+E77*D77</f>
        <v>7250000</v>
      </c>
      <c r="H77" s="47" t="str">
        <f>+H76</f>
        <v>Río Grande (excl. Juntas)</v>
      </c>
      <c r="I77" s="110">
        <v>2029</v>
      </c>
      <c r="J77" s="426">
        <f>3072-172</f>
        <v>2900</v>
      </c>
      <c r="K77" s="522">
        <f>+K75</f>
        <v>2500</v>
      </c>
      <c r="L77" s="522">
        <f>+K77*J77</f>
        <v>7250000</v>
      </c>
    </row>
    <row r="78" spans="2:18" x14ac:dyDescent="0.3">
      <c r="B78" s="57" t="s">
        <v>471</v>
      </c>
      <c r="C78" s="57"/>
      <c r="D78" s="525"/>
      <c r="E78" s="524"/>
      <c r="F78" s="524"/>
      <c r="H78" s="57" t="s">
        <v>471</v>
      </c>
      <c r="I78" s="57"/>
      <c r="J78" s="432"/>
      <c r="K78" s="524"/>
      <c r="L78" s="524"/>
    </row>
    <row r="79" spans="2:18" x14ac:dyDescent="0.3">
      <c r="B79" s="47" t="str">
        <f>+B78</f>
        <v>Otras  nuevas plantas</v>
      </c>
      <c r="C79" s="110">
        <v>2029</v>
      </c>
      <c r="D79" s="526">
        <v>360</v>
      </c>
      <c r="E79" s="522">
        <f>+E77</f>
        <v>2500</v>
      </c>
      <c r="F79" s="522">
        <f>+E79*D79</f>
        <v>900000</v>
      </c>
      <c r="H79" s="47" t="str">
        <f>+H78</f>
        <v>Otras  nuevas plantas</v>
      </c>
      <c r="I79" s="110">
        <v>2029</v>
      </c>
      <c r="J79" s="426">
        <v>360</v>
      </c>
      <c r="K79" s="522">
        <f>+K77</f>
        <v>2500</v>
      </c>
      <c r="L79" s="522">
        <f>+K79*J79</f>
        <v>900000</v>
      </c>
    </row>
    <row r="80" spans="2:18" x14ac:dyDescent="0.3">
      <c r="B80" s="57" t="s">
        <v>261</v>
      </c>
      <c r="C80" s="57"/>
      <c r="D80" s="525"/>
      <c r="E80" s="524"/>
      <c r="F80" s="524"/>
      <c r="H80" s="57" t="s">
        <v>261</v>
      </c>
      <c r="I80" s="57"/>
      <c r="J80" s="432"/>
      <c r="K80" s="524"/>
      <c r="L80" s="524"/>
    </row>
    <row r="81" spans="2:18" x14ac:dyDescent="0.3">
      <c r="B81" s="47" t="str">
        <f>+B80</f>
        <v>Cachuela Esperanza</v>
      </c>
      <c r="C81" s="110">
        <v>2029</v>
      </c>
      <c r="D81" s="526">
        <v>990</v>
      </c>
      <c r="E81" s="522">
        <f>+E79</f>
        <v>2500</v>
      </c>
      <c r="F81" s="522">
        <f>+E81*D81</f>
        <v>2475000</v>
      </c>
      <c r="H81" s="47" t="str">
        <f>+H80</f>
        <v>Cachuela Esperanza</v>
      </c>
      <c r="I81" s="110">
        <v>2029</v>
      </c>
      <c r="J81" s="426">
        <v>990</v>
      </c>
      <c r="K81" s="522">
        <f>+K79</f>
        <v>2500</v>
      </c>
      <c r="L81" s="522">
        <f>+K81*J81</f>
        <v>2475000</v>
      </c>
    </row>
    <row r="82" spans="2:18" x14ac:dyDescent="0.3">
      <c r="B82" s="57" t="s">
        <v>262</v>
      </c>
      <c r="C82" s="57"/>
      <c r="D82" s="525"/>
      <c r="E82" s="524"/>
      <c r="F82" s="524"/>
      <c r="H82" s="57" t="s">
        <v>262</v>
      </c>
      <c r="I82" s="57"/>
      <c r="J82" s="432"/>
      <c r="K82" s="524"/>
      <c r="L82" s="524"/>
    </row>
    <row r="83" spans="2:18" x14ac:dyDescent="0.3">
      <c r="B83" s="47" t="str">
        <f>B82</f>
        <v>El Bala</v>
      </c>
      <c r="C83" s="110">
        <v>2030</v>
      </c>
      <c r="D83" s="526">
        <v>1680</v>
      </c>
      <c r="E83" s="522">
        <f>+E81</f>
        <v>2500</v>
      </c>
      <c r="F83" s="522">
        <f>+E83*D83</f>
        <v>4200000</v>
      </c>
      <c r="H83" s="47" t="str">
        <f>H82</f>
        <v>El Bala</v>
      </c>
      <c r="I83" s="110">
        <v>2030</v>
      </c>
      <c r="J83" s="426">
        <v>1680</v>
      </c>
      <c r="K83" s="522">
        <f>+K81</f>
        <v>2500</v>
      </c>
      <c r="L83" s="522">
        <f>+K83*J83</f>
        <v>4200000</v>
      </c>
    </row>
    <row r="84" spans="2:18" x14ac:dyDescent="0.3">
      <c r="B84" s="57" t="s">
        <v>412</v>
      </c>
      <c r="C84" s="57"/>
      <c r="D84" s="525"/>
      <c r="E84" s="524"/>
      <c r="F84" s="524"/>
      <c r="H84" s="57" t="s">
        <v>412</v>
      </c>
      <c r="I84" s="57"/>
      <c r="J84" s="57"/>
      <c r="K84" s="524"/>
      <c r="L84" s="524"/>
    </row>
    <row r="85" spans="2:18" x14ac:dyDescent="0.3">
      <c r="B85" s="47" t="str">
        <f>B84</f>
        <v>Hydro A</v>
      </c>
      <c r="C85" s="110"/>
      <c r="D85" s="522"/>
      <c r="E85" s="522"/>
      <c r="F85" s="522"/>
      <c r="H85" s="47" t="str">
        <f>H84</f>
        <v>Hydro A</v>
      </c>
      <c r="I85" s="110"/>
      <c r="J85" s="110"/>
      <c r="K85" s="522"/>
      <c r="L85" s="522"/>
    </row>
    <row r="86" spans="2:18" x14ac:dyDescent="0.3">
      <c r="B86" s="57" t="s">
        <v>413</v>
      </c>
      <c r="C86" s="57"/>
      <c r="D86" s="525"/>
      <c r="E86" s="524"/>
      <c r="F86" s="524"/>
      <c r="H86" s="57" t="s">
        <v>413</v>
      </c>
      <c r="I86" s="57"/>
      <c r="J86" s="57"/>
      <c r="K86" s="524"/>
      <c r="L86" s="524"/>
    </row>
    <row r="87" spans="2:18" x14ac:dyDescent="0.3">
      <c r="B87" s="47" t="str">
        <f>B86</f>
        <v>Hydro B</v>
      </c>
      <c r="C87" s="110"/>
      <c r="D87" s="522"/>
      <c r="E87" s="522"/>
      <c r="F87" s="522"/>
      <c r="H87" s="47" t="str">
        <f>H86</f>
        <v>Hydro B</v>
      </c>
      <c r="I87" s="110"/>
      <c r="J87" s="110"/>
      <c r="K87" s="522"/>
      <c r="L87" s="522"/>
    </row>
    <row r="88" spans="2:18" x14ac:dyDescent="0.3">
      <c r="B88" s="57" t="s">
        <v>415</v>
      </c>
      <c r="C88" s="57"/>
      <c r="D88" s="525"/>
      <c r="E88" s="524"/>
      <c r="F88" s="524"/>
      <c r="H88" s="57" t="s">
        <v>415</v>
      </c>
      <c r="I88" s="57"/>
      <c r="J88" s="57"/>
      <c r="K88" s="524"/>
      <c r="L88" s="524"/>
    </row>
    <row r="89" spans="2:18" x14ac:dyDescent="0.3">
      <c r="B89" s="47" t="str">
        <f>B88</f>
        <v>Hydro C</v>
      </c>
      <c r="C89" s="110"/>
      <c r="D89" s="522"/>
      <c r="E89" s="522"/>
      <c r="F89" s="522"/>
      <c r="H89" s="47" t="str">
        <f>H88</f>
        <v>Hydro C</v>
      </c>
      <c r="I89" s="110"/>
      <c r="J89" s="110"/>
      <c r="K89" s="522"/>
      <c r="L89" s="522"/>
    </row>
    <row r="90" spans="2:18" x14ac:dyDescent="0.3">
      <c r="B90" s="113"/>
      <c r="C90" s="28"/>
      <c r="D90" s="28"/>
      <c r="E90" s="28"/>
      <c r="F90" s="28"/>
      <c r="H90" s="113"/>
      <c r="I90" s="28"/>
      <c r="J90" s="28"/>
      <c r="K90" s="28"/>
      <c r="L90" s="28"/>
    </row>
    <row r="91" spans="2:18" ht="28.8" x14ac:dyDescent="0.3">
      <c r="B91" s="84" t="s">
        <v>164</v>
      </c>
      <c r="C91" s="80" t="s">
        <v>279</v>
      </c>
      <c r="D91" s="389" t="s">
        <v>397</v>
      </c>
      <c r="E91" s="389" t="s">
        <v>535</v>
      </c>
      <c r="F91" s="397" t="s">
        <v>536</v>
      </c>
      <c r="H91" s="84" t="s">
        <v>164</v>
      </c>
      <c r="I91" s="80" t="s">
        <v>279</v>
      </c>
      <c r="J91" s="389" t="s">
        <v>397</v>
      </c>
      <c r="K91" s="389" t="s">
        <v>535</v>
      </c>
      <c r="L91" s="397" t="s">
        <v>536</v>
      </c>
      <c r="N91" s="84" t="s">
        <v>164</v>
      </c>
      <c r="O91" s="80" t="s">
        <v>279</v>
      </c>
      <c r="P91" s="389" t="s">
        <v>397</v>
      </c>
      <c r="Q91" s="389" t="s">
        <v>535</v>
      </c>
      <c r="R91" s="397" t="s">
        <v>536</v>
      </c>
    </row>
    <row r="92" spans="2:18" x14ac:dyDescent="0.3">
      <c r="B92" s="7" t="s">
        <v>8</v>
      </c>
      <c r="C92" s="11"/>
      <c r="D92" s="422"/>
      <c r="E92" s="11"/>
      <c r="F92" s="11"/>
      <c r="H92" s="7" t="s">
        <v>8</v>
      </c>
      <c r="I92" s="11"/>
      <c r="J92" s="11"/>
      <c r="K92" s="11"/>
      <c r="L92" s="11"/>
      <c r="N92" s="7" t="s">
        <v>8</v>
      </c>
      <c r="O92" s="11"/>
      <c r="P92" s="11"/>
      <c r="Q92" s="11"/>
      <c r="R92" s="11"/>
    </row>
    <row r="93" spans="2:18" x14ac:dyDescent="0.3">
      <c r="B93" s="57" t="s">
        <v>49</v>
      </c>
      <c r="C93" s="57"/>
      <c r="D93" s="392"/>
      <c r="E93" s="57"/>
      <c r="F93" s="57"/>
      <c r="H93" s="57" t="s">
        <v>49</v>
      </c>
      <c r="I93" s="57"/>
      <c r="J93" s="57"/>
      <c r="K93" s="57"/>
      <c r="L93" s="57"/>
      <c r="N93" s="57" t="s">
        <v>49</v>
      </c>
      <c r="O93" s="57"/>
      <c r="P93" s="57"/>
      <c r="Q93" s="57"/>
      <c r="R93" s="57"/>
    </row>
    <row r="94" spans="2:18" x14ac:dyDescent="0.3">
      <c r="B94" s="47" t="s">
        <v>49</v>
      </c>
      <c r="C94" s="390">
        <v>2020</v>
      </c>
      <c r="D94" s="526">
        <v>54</v>
      </c>
      <c r="E94" s="522">
        <v>1750</v>
      </c>
      <c r="F94" s="522">
        <f>+E94*D94</f>
        <v>94500</v>
      </c>
      <c r="H94" s="47" t="s">
        <v>49</v>
      </c>
      <c r="I94" s="390">
        <v>2020</v>
      </c>
      <c r="J94" s="426">
        <v>54</v>
      </c>
      <c r="K94" s="522">
        <v>1750</v>
      </c>
      <c r="L94" s="522">
        <f>+K94*J94</f>
        <v>94500</v>
      </c>
      <c r="N94" s="47" t="s">
        <v>49</v>
      </c>
      <c r="O94" s="390">
        <v>2020</v>
      </c>
      <c r="P94" s="391">
        <v>54</v>
      </c>
      <c r="Q94" s="522">
        <v>1750</v>
      </c>
      <c r="R94" s="522">
        <f>+Q94*P94</f>
        <v>94500</v>
      </c>
    </row>
    <row r="95" spans="2:18" x14ac:dyDescent="0.3">
      <c r="B95" s="57" t="s">
        <v>53</v>
      </c>
      <c r="C95" s="57"/>
      <c r="D95" s="525"/>
      <c r="E95" s="525"/>
      <c r="F95" s="525"/>
      <c r="H95" s="57" t="s">
        <v>53</v>
      </c>
      <c r="I95" s="57"/>
      <c r="J95" s="392"/>
      <c r="K95" s="525"/>
      <c r="L95" s="525"/>
      <c r="N95" s="57" t="s">
        <v>53</v>
      </c>
      <c r="O95" s="57"/>
      <c r="P95" s="392"/>
      <c r="Q95" s="525"/>
      <c r="R95" s="525"/>
    </row>
    <row r="96" spans="2:18" x14ac:dyDescent="0.3">
      <c r="B96" s="47" t="s">
        <v>53</v>
      </c>
      <c r="C96" s="390">
        <v>2021</v>
      </c>
      <c r="D96" s="526">
        <v>24</v>
      </c>
      <c r="E96" s="522">
        <f>+E94</f>
        <v>1750</v>
      </c>
      <c r="F96" s="522">
        <f>+E96*D96</f>
        <v>42000</v>
      </c>
      <c r="H96" s="47" t="s">
        <v>53</v>
      </c>
      <c r="I96" s="390">
        <v>2021</v>
      </c>
      <c r="J96" s="426">
        <v>24</v>
      </c>
      <c r="K96" s="522">
        <f>+K94</f>
        <v>1750</v>
      </c>
      <c r="L96" s="522">
        <f>+K96*J96</f>
        <v>42000</v>
      </c>
      <c r="N96" s="47" t="s">
        <v>53</v>
      </c>
      <c r="O96" s="390">
        <v>2021</v>
      </c>
      <c r="P96" s="391">
        <v>24</v>
      </c>
      <c r="Q96" s="522">
        <f>+Q94</f>
        <v>1750</v>
      </c>
      <c r="R96" s="522">
        <f>+Q96*P96</f>
        <v>42000</v>
      </c>
    </row>
    <row r="97" spans="2:18" x14ac:dyDescent="0.3">
      <c r="B97" s="57" t="s">
        <v>48</v>
      </c>
      <c r="C97" s="57"/>
      <c r="D97" s="525"/>
      <c r="E97" s="525"/>
      <c r="F97" s="525"/>
      <c r="H97" s="57" t="s">
        <v>48</v>
      </c>
      <c r="I97" s="57"/>
      <c r="J97" s="392"/>
      <c r="K97" s="525"/>
      <c r="L97" s="525"/>
      <c r="N97" s="57" t="s">
        <v>48</v>
      </c>
      <c r="O97" s="57"/>
      <c r="P97" s="392"/>
      <c r="Q97" s="525"/>
      <c r="R97" s="525"/>
    </row>
    <row r="98" spans="2:18" x14ac:dyDescent="0.3">
      <c r="B98" s="47" t="s">
        <v>48</v>
      </c>
      <c r="C98" s="390">
        <v>2020</v>
      </c>
      <c r="D98" s="526">
        <v>39.6</v>
      </c>
      <c r="E98" s="522">
        <f>+E96</f>
        <v>1750</v>
      </c>
      <c r="F98" s="522">
        <f>+E98*D98</f>
        <v>69300</v>
      </c>
      <c r="H98" s="47" t="s">
        <v>48</v>
      </c>
      <c r="I98" s="390">
        <v>2020</v>
      </c>
      <c r="J98" s="426">
        <v>39.6</v>
      </c>
      <c r="K98" s="522">
        <f>+K96</f>
        <v>1750</v>
      </c>
      <c r="L98" s="522">
        <f>+K98*J98</f>
        <v>69300</v>
      </c>
      <c r="N98" s="47" t="s">
        <v>48</v>
      </c>
      <c r="O98" s="390">
        <v>2020</v>
      </c>
      <c r="P98" s="391">
        <v>39.6</v>
      </c>
      <c r="Q98" s="522">
        <f>+Q96</f>
        <v>1750</v>
      </c>
      <c r="R98" s="522">
        <f>+Q98*P98</f>
        <v>69300</v>
      </c>
    </row>
    <row r="99" spans="2:18" x14ac:dyDescent="0.3">
      <c r="B99" s="57" t="s">
        <v>25</v>
      </c>
      <c r="C99" s="57"/>
      <c r="D99" s="525"/>
      <c r="E99" s="524"/>
      <c r="F99" s="524"/>
      <c r="H99" s="57" t="s">
        <v>25</v>
      </c>
      <c r="I99" s="57"/>
      <c r="J99" s="57"/>
      <c r="K99" s="524"/>
      <c r="L99" s="524"/>
      <c r="N99" s="57" t="s">
        <v>25</v>
      </c>
      <c r="O99" s="57"/>
      <c r="P99" s="57"/>
      <c r="Q99" s="524"/>
      <c r="R99" s="524"/>
    </row>
    <row r="100" spans="2:18" x14ac:dyDescent="0.3">
      <c r="B100" s="47" t="s">
        <v>58</v>
      </c>
      <c r="C100" s="110">
        <v>2020</v>
      </c>
      <c r="D100" s="526">
        <v>14.4</v>
      </c>
      <c r="E100" s="522">
        <f>+E98</f>
        <v>1750</v>
      </c>
      <c r="F100" s="522">
        <f>+E100*D100</f>
        <v>25200</v>
      </c>
      <c r="H100" s="47" t="s">
        <v>58</v>
      </c>
      <c r="I100" s="110">
        <v>2020</v>
      </c>
      <c r="J100" s="426">
        <v>14.4</v>
      </c>
      <c r="K100" s="522">
        <f>+K98</f>
        <v>1750</v>
      </c>
      <c r="L100" s="522">
        <f>+K100*J100</f>
        <v>25200</v>
      </c>
      <c r="N100" s="47" t="s">
        <v>58</v>
      </c>
      <c r="O100" s="110">
        <v>2020</v>
      </c>
      <c r="P100" s="110">
        <v>14.4</v>
      </c>
      <c r="Q100" s="522">
        <f>+Q98</f>
        <v>1750</v>
      </c>
      <c r="R100" s="522">
        <f>+Q100*P100</f>
        <v>25200</v>
      </c>
    </row>
    <row r="101" spans="2:18" x14ac:dyDescent="0.3">
      <c r="B101" s="47" t="s">
        <v>52</v>
      </c>
      <c r="C101" s="110">
        <v>2021</v>
      </c>
      <c r="D101" s="526">
        <v>21</v>
      </c>
      <c r="E101" s="522">
        <f>+E100</f>
        <v>1750</v>
      </c>
      <c r="F101" s="522">
        <f>+E101*D101</f>
        <v>36750</v>
      </c>
      <c r="H101" s="47" t="s">
        <v>52</v>
      </c>
      <c r="I101" s="110">
        <v>2021</v>
      </c>
      <c r="J101" s="426">
        <v>21</v>
      </c>
      <c r="K101" s="522">
        <f>+K100</f>
        <v>1750</v>
      </c>
      <c r="L101" s="522">
        <f>+K101*J101</f>
        <v>36750</v>
      </c>
      <c r="N101" s="47" t="s">
        <v>52</v>
      </c>
      <c r="O101" s="110">
        <v>2021</v>
      </c>
      <c r="P101" s="110">
        <v>21</v>
      </c>
      <c r="Q101" s="522">
        <f>+Q100</f>
        <v>1750</v>
      </c>
      <c r="R101" s="522">
        <f>+Q101*P101</f>
        <v>36750</v>
      </c>
    </row>
    <row r="102" spans="2:18" x14ac:dyDescent="0.3">
      <c r="B102" s="57" t="s">
        <v>418</v>
      </c>
      <c r="C102" s="57"/>
      <c r="D102" s="525"/>
      <c r="E102" s="524"/>
      <c r="F102" s="524"/>
      <c r="H102" s="57" t="s">
        <v>418</v>
      </c>
      <c r="I102" s="57"/>
      <c r="J102" s="57"/>
      <c r="K102" s="524"/>
      <c r="L102" s="524"/>
      <c r="N102" s="57" t="s">
        <v>418</v>
      </c>
      <c r="O102" s="57"/>
      <c r="P102" s="57"/>
      <c r="Q102" s="57"/>
      <c r="R102" s="57"/>
    </row>
    <row r="103" spans="2:18" ht="18.600000000000001" customHeight="1" x14ac:dyDescent="0.3">
      <c r="B103" s="47" t="s">
        <v>418</v>
      </c>
      <c r="C103" s="110">
        <v>2030</v>
      </c>
      <c r="D103" s="526">
        <v>276</v>
      </c>
      <c r="E103" s="522">
        <f>+E101</f>
        <v>1750</v>
      </c>
      <c r="F103" s="522">
        <f>+E103*D103</f>
        <v>483000</v>
      </c>
      <c r="H103" s="47" t="s">
        <v>418</v>
      </c>
      <c r="I103" s="110">
        <v>2030</v>
      </c>
      <c r="J103" s="426">
        <v>276</v>
      </c>
      <c r="K103" s="522">
        <f>+K101</f>
        <v>1750</v>
      </c>
      <c r="L103" s="522">
        <f>+K103*J103</f>
        <v>483000</v>
      </c>
      <c r="N103" s="47" t="s">
        <v>418</v>
      </c>
      <c r="O103" s="110"/>
      <c r="P103" s="391"/>
      <c r="Q103" s="110"/>
      <c r="R103" s="110"/>
    </row>
    <row r="104" spans="2:18" x14ac:dyDescent="0.3">
      <c r="B104" s="57" t="s">
        <v>419</v>
      </c>
      <c r="C104" s="57"/>
      <c r="D104" s="525"/>
      <c r="E104" s="524"/>
      <c r="F104" s="524"/>
      <c r="H104" s="57" t="s">
        <v>419</v>
      </c>
      <c r="I104" s="57"/>
      <c r="J104" s="57"/>
      <c r="K104" s="524"/>
      <c r="L104" s="524"/>
      <c r="N104" s="57" t="s">
        <v>419</v>
      </c>
      <c r="O104" s="57"/>
      <c r="P104" s="57"/>
      <c r="Q104" s="57"/>
      <c r="R104" s="57"/>
    </row>
    <row r="105" spans="2:18" x14ac:dyDescent="0.3">
      <c r="B105" s="47" t="s">
        <v>419</v>
      </c>
      <c r="C105" s="110"/>
      <c r="D105" s="522"/>
      <c r="E105" s="522"/>
      <c r="F105" s="522"/>
      <c r="H105" s="47" t="s">
        <v>419</v>
      </c>
      <c r="I105" s="110"/>
      <c r="J105" s="391"/>
      <c r="K105" s="522"/>
      <c r="L105" s="522"/>
      <c r="N105" s="47" t="s">
        <v>419</v>
      </c>
      <c r="O105" s="110"/>
      <c r="P105" s="391"/>
      <c r="Q105" s="110"/>
      <c r="R105" s="110"/>
    </row>
    <row r="106" spans="2:18" x14ac:dyDescent="0.3">
      <c r="B106" s="57" t="s">
        <v>420</v>
      </c>
      <c r="C106" s="57"/>
      <c r="D106" s="525"/>
      <c r="E106" s="524"/>
      <c r="F106" s="524"/>
      <c r="H106" s="57" t="s">
        <v>420</v>
      </c>
      <c r="I106" s="57"/>
      <c r="J106" s="57"/>
      <c r="K106" s="524"/>
      <c r="L106" s="524"/>
      <c r="N106" s="57" t="s">
        <v>420</v>
      </c>
      <c r="O106" s="57"/>
      <c r="P106" s="57"/>
      <c r="Q106" s="57"/>
      <c r="R106" s="57"/>
    </row>
    <row r="107" spans="2:18" x14ac:dyDescent="0.3">
      <c r="B107" s="47" t="s">
        <v>420</v>
      </c>
      <c r="C107" s="110"/>
      <c r="D107" s="522"/>
      <c r="E107" s="522"/>
      <c r="F107" s="522"/>
      <c r="H107" s="47" t="s">
        <v>420</v>
      </c>
      <c r="I107" s="110"/>
      <c r="J107" s="391"/>
      <c r="K107" s="522"/>
      <c r="L107" s="522"/>
      <c r="N107" s="47" t="s">
        <v>420</v>
      </c>
      <c r="O107" s="110"/>
      <c r="P107" s="391"/>
      <c r="Q107" s="110"/>
      <c r="R107" s="110"/>
    </row>
    <row r="108" spans="2:18" x14ac:dyDescent="0.3">
      <c r="B108" s="13"/>
      <c r="C108" s="13"/>
      <c r="D108" s="28"/>
      <c r="E108" s="13"/>
      <c r="F108" s="13"/>
      <c r="H108" s="13"/>
      <c r="I108" s="13"/>
      <c r="J108" s="13"/>
      <c r="K108" s="13"/>
      <c r="L108" s="13"/>
      <c r="N108" s="13"/>
      <c r="O108" s="13"/>
      <c r="P108" s="13"/>
      <c r="Q108" s="13"/>
      <c r="R108" s="13"/>
    </row>
    <row r="109" spans="2:18" ht="28.8" x14ac:dyDescent="0.3">
      <c r="B109" s="84" t="s">
        <v>164</v>
      </c>
      <c r="C109" s="80" t="s">
        <v>279</v>
      </c>
      <c r="D109" s="389" t="s">
        <v>397</v>
      </c>
      <c r="E109" s="389" t="s">
        <v>535</v>
      </c>
      <c r="F109" s="397" t="s">
        <v>536</v>
      </c>
      <c r="H109" s="84" t="s">
        <v>164</v>
      </c>
      <c r="I109" s="80" t="s">
        <v>279</v>
      </c>
      <c r="J109" s="389" t="s">
        <v>397</v>
      </c>
      <c r="K109" s="389" t="s">
        <v>535</v>
      </c>
      <c r="L109" s="397" t="s">
        <v>536</v>
      </c>
      <c r="N109" s="84" t="s">
        <v>164</v>
      </c>
      <c r="O109" s="80" t="s">
        <v>279</v>
      </c>
      <c r="P109" s="389" t="s">
        <v>397</v>
      </c>
      <c r="Q109" s="389" t="s">
        <v>535</v>
      </c>
      <c r="R109" s="397" t="s">
        <v>536</v>
      </c>
    </row>
    <row r="110" spans="2:18" x14ac:dyDescent="0.3">
      <c r="B110" s="7" t="s">
        <v>10</v>
      </c>
      <c r="C110" s="11"/>
      <c r="D110" s="422"/>
      <c r="E110" s="11"/>
      <c r="F110" s="11"/>
      <c r="H110" s="7" t="s">
        <v>10</v>
      </c>
      <c r="I110" s="11"/>
      <c r="J110" s="11"/>
      <c r="K110" s="11"/>
      <c r="L110" s="11"/>
      <c r="N110" s="7" t="s">
        <v>10</v>
      </c>
      <c r="O110" s="11"/>
      <c r="P110" s="11"/>
      <c r="Q110" s="11"/>
      <c r="R110" s="11"/>
    </row>
    <row r="111" spans="2:18" x14ac:dyDescent="0.3">
      <c r="B111" s="57" t="s">
        <v>411</v>
      </c>
      <c r="C111" s="57"/>
      <c r="D111" s="392"/>
      <c r="E111" s="57"/>
      <c r="F111" s="57"/>
      <c r="H111" s="57" t="s">
        <v>411</v>
      </c>
      <c r="I111" s="57"/>
      <c r="J111" s="57"/>
      <c r="K111" s="57"/>
      <c r="L111" s="57"/>
      <c r="N111" s="57" t="s">
        <v>411</v>
      </c>
      <c r="O111" s="57"/>
      <c r="P111" s="57"/>
      <c r="Q111" s="57"/>
      <c r="R111" s="57"/>
    </row>
    <row r="112" spans="2:18" x14ac:dyDescent="0.3">
      <c r="B112" s="47" t="s">
        <v>234</v>
      </c>
      <c r="C112" s="110">
        <v>2019</v>
      </c>
      <c r="D112" s="526">
        <v>50</v>
      </c>
      <c r="E112" s="522">
        <v>1200</v>
      </c>
      <c r="F112" s="522">
        <f>+E112*D112</f>
        <v>60000</v>
      </c>
      <c r="H112" s="47" t="s">
        <v>234</v>
      </c>
      <c r="I112" s="110">
        <v>2019</v>
      </c>
      <c r="J112" s="426">
        <v>50</v>
      </c>
      <c r="K112" s="522">
        <v>1200</v>
      </c>
      <c r="L112" s="522">
        <f>+K112*J112</f>
        <v>60000</v>
      </c>
      <c r="N112" s="47" t="s">
        <v>234</v>
      </c>
      <c r="O112" s="110">
        <v>2019</v>
      </c>
      <c r="P112" s="110">
        <v>50</v>
      </c>
      <c r="Q112" s="522">
        <v>1200</v>
      </c>
      <c r="R112" s="522">
        <f>+Q112*P112</f>
        <v>60000</v>
      </c>
    </row>
    <row r="113" spans="2:18" x14ac:dyDescent="0.3">
      <c r="B113" s="57" t="s">
        <v>411</v>
      </c>
      <c r="C113" s="57"/>
      <c r="D113" s="525"/>
      <c r="E113" s="525"/>
      <c r="F113" s="525"/>
      <c r="H113" s="57" t="s">
        <v>411</v>
      </c>
      <c r="I113" s="57"/>
      <c r="J113" s="432"/>
      <c r="K113" s="525"/>
      <c r="L113" s="525"/>
      <c r="N113" s="57" t="s">
        <v>411</v>
      </c>
      <c r="O113" s="57"/>
      <c r="P113" s="57"/>
      <c r="Q113" s="525"/>
      <c r="R113" s="525"/>
    </row>
    <row r="114" spans="2:18" x14ac:dyDescent="0.3">
      <c r="B114" s="47" t="s">
        <v>234</v>
      </c>
      <c r="C114" s="110">
        <v>2019</v>
      </c>
      <c r="D114" s="526">
        <v>50</v>
      </c>
      <c r="E114" s="522">
        <f>+E112</f>
        <v>1200</v>
      </c>
      <c r="F114" s="522">
        <f>+E114*D114</f>
        <v>60000</v>
      </c>
      <c r="H114" s="47" t="s">
        <v>234</v>
      </c>
      <c r="I114" s="110">
        <v>2019</v>
      </c>
      <c r="J114" s="426">
        <v>50</v>
      </c>
      <c r="K114" s="522">
        <f>+K112</f>
        <v>1200</v>
      </c>
      <c r="L114" s="522">
        <f>+K114*J114</f>
        <v>60000</v>
      </c>
      <c r="N114" s="47" t="s">
        <v>234</v>
      </c>
      <c r="O114" s="110">
        <v>2019</v>
      </c>
      <c r="P114" s="110">
        <v>50</v>
      </c>
      <c r="Q114" s="522">
        <f>+Q112</f>
        <v>1200</v>
      </c>
      <c r="R114" s="522">
        <f>+Q114*P114</f>
        <v>60000</v>
      </c>
    </row>
    <row r="115" spans="2:18" x14ac:dyDescent="0.3">
      <c r="B115" s="57" t="s">
        <v>44</v>
      </c>
      <c r="C115" s="57"/>
      <c r="D115" s="525"/>
      <c r="E115" s="525"/>
      <c r="F115" s="525"/>
      <c r="H115" s="57" t="s">
        <v>44</v>
      </c>
      <c r="I115" s="57"/>
      <c r="J115" s="57"/>
      <c r="K115" s="525"/>
      <c r="L115" s="525"/>
      <c r="N115" s="57" t="s">
        <v>44</v>
      </c>
      <c r="O115" s="57"/>
      <c r="P115" s="57"/>
      <c r="Q115" s="525"/>
      <c r="R115" s="525"/>
    </row>
    <row r="116" spans="2:18" x14ac:dyDescent="0.3">
      <c r="B116" s="47" t="s">
        <v>44</v>
      </c>
      <c r="C116" s="390">
        <v>2018</v>
      </c>
      <c r="D116" s="526">
        <v>60</v>
      </c>
      <c r="E116" s="522">
        <f>+E114</f>
        <v>1200</v>
      </c>
      <c r="F116" s="522">
        <f>+E116*D116</f>
        <v>72000</v>
      </c>
      <c r="H116" s="47" t="s">
        <v>44</v>
      </c>
      <c r="I116" s="390">
        <v>2018</v>
      </c>
      <c r="J116" s="426">
        <v>60</v>
      </c>
      <c r="K116" s="522">
        <f>+K114</f>
        <v>1200</v>
      </c>
      <c r="L116" s="522">
        <f>+K116*J116</f>
        <v>72000</v>
      </c>
      <c r="N116" s="47" t="s">
        <v>44</v>
      </c>
      <c r="O116" s="390">
        <v>2018</v>
      </c>
      <c r="P116" s="391">
        <v>60</v>
      </c>
      <c r="Q116" s="522">
        <f>+Q114</f>
        <v>1200</v>
      </c>
      <c r="R116" s="522">
        <f>+Q116*P116</f>
        <v>72000</v>
      </c>
    </row>
    <row r="117" spans="2:18" x14ac:dyDescent="0.3">
      <c r="B117" s="57" t="s">
        <v>11</v>
      </c>
      <c r="C117" s="57"/>
      <c r="D117" s="525"/>
      <c r="E117" s="525"/>
      <c r="F117" s="525"/>
      <c r="H117" s="57" t="s">
        <v>11</v>
      </c>
      <c r="I117" s="57"/>
      <c r="J117" s="57"/>
      <c r="K117" s="525"/>
      <c r="L117" s="525"/>
      <c r="N117" s="57" t="s">
        <v>11</v>
      </c>
      <c r="O117" s="57"/>
      <c r="P117" s="57"/>
      <c r="Q117" s="525"/>
      <c r="R117" s="525"/>
    </row>
    <row r="118" spans="2:18" x14ac:dyDescent="0.3">
      <c r="B118" s="47" t="s">
        <v>11</v>
      </c>
      <c r="C118" s="390">
        <v>2018</v>
      </c>
      <c r="D118" s="526">
        <v>5</v>
      </c>
      <c r="E118" s="522">
        <f>+E116</f>
        <v>1200</v>
      </c>
      <c r="F118" s="522">
        <f>+E118*D118</f>
        <v>6000</v>
      </c>
      <c r="H118" s="47" t="s">
        <v>11</v>
      </c>
      <c r="I118" s="390">
        <v>2018</v>
      </c>
      <c r="J118" s="426">
        <v>5</v>
      </c>
      <c r="K118" s="522">
        <f>+K116</f>
        <v>1200</v>
      </c>
      <c r="L118" s="522">
        <f>+K118*J118</f>
        <v>6000</v>
      </c>
      <c r="N118" s="47" t="s">
        <v>11</v>
      </c>
      <c r="O118" s="390">
        <v>2018</v>
      </c>
      <c r="P118" s="391">
        <v>5</v>
      </c>
      <c r="Q118" s="522">
        <f>+Q116</f>
        <v>1200</v>
      </c>
      <c r="R118" s="522">
        <f>+Q118*P118</f>
        <v>6000</v>
      </c>
    </row>
    <row r="119" spans="2:18" x14ac:dyDescent="0.3">
      <c r="B119" s="57" t="s">
        <v>473</v>
      </c>
      <c r="C119" s="57"/>
      <c r="D119" s="525"/>
      <c r="E119" s="525"/>
      <c r="F119" s="525"/>
      <c r="H119" s="57" t="s">
        <v>473</v>
      </c>
      <c r="I119" s="57"/>
      <c r="J119" s="57"/>
      <c r="K119" s="525"/>
      <c r="L119" s="525"/>
      <c r="N119" s="57" t="s">
        <v>421</v>
      </c>
      <c r="O119" s="57"/>
      <c r="P119" s="57"/>
      <c r="Q119" s="57"/>
      <c r="R119" s="57"/>
    </row>
    <row r="120" spans="2:18" x14ac:dyDescent="0.3">
      <c r="B120" s="47" t="str">
        <f>B119</f>
        <v>Riberalta - Guayamerin</v>
      </c>
      <c r="C120" s="390">
        <v>2020</v>
      </c>
      <c r="D120" s="526">
        <v>5</v>
      </c>
      <c r="E120" s="522">
        <f>+E118</f>
        <v>1200</v>
      </c>
      <c r="F120" s="522">
        <f>+E120*D120</f>
        <v>6000</v>
      </c>
      <c r="H120" s="47" t="str">
        <f>H119</f>
        <v>Riberalta - Guayamerin</v>
      </c>
      <c r="I120" s="390">
        <v>2020</v>
      </c>
      <c r="J120" s="426">
        <v>5</v>
      </c>
      <c r="K120" s="522">
        <f>+K118</f>
        <v>1200</v>
      </c>
      <c r="L120" s="522">
        <f>+K120*J120</f>
        <v>6000</v>
      </c>
      <c r="N120" s="47" t="s">
        <v>421</v>
      </c>
      <c r="O120" s="110"/>
      <c r="P120" s="391"/>
      <c r="Q120" s="110"/>
      <c r="R120" s="110"/>
    </row>
    <row r="121" spans="2:18" x14ac:dyDescent="0.3">
      <c r="B121" s="57" t="s">
        <v>421</v>
      </c>
      <c r="C121" s="57"/>
      <c r="D121" s="525"/>
      <c r="E121" s="525"/>
      <c r="F121" s="525"/>
      <c r="H121" s="57" t="s">
        <v>421</v>
      </c>
      <c r="I121" s="57"/>
      <c r="J121" s="57"/>
      <c r="K121" s="525"/>
      <c r="L121" s="525"/>
      <c r="N121" s="57" t="s">
        <v>422</v>
      </c>
      <c r="O121" s="57"/>
      <c r="P121" s="57"/>
      <c r="Q121" s="57"/>
      <c r="R121" s="57"/>
    </row>
    <row r="122" spans="2:18" x14ac:dyDescent="0.3">
      <c r="B122" s="47" t="str">
        <f>+B121</f>
        <v>Solar A</v>
      </c>
      <c r="C122" s="110">
        <v>2030</v>
      </c>
      <c r="D122" s="526">
        <v>200</v>
      </c>
      <c r="E122" s="522">
        <f>+E120</f>
        <v>1200</v>
      </c>
      <c r="F122" s="522">
        <f>+E122*D122</f>
        <v>240000</v>
      </c>
      <c r="H122" s="47" t="str">
        <f>+H121</f>
        <v>Solar A</v>
      </c>
      <c r="I122" s="110">
        <v>2030</v>
      </c>
      <c r="J122" s="426">
        <v>200</v>
      </c>
      <c r="K122" s="522">
        <f>+K120</f>
        <v>1200</v>
      </c>
      <c r="L122" s="522">
        <f>+K122*J122</f>
        <v>240000</v>
      </c>
      <c r="N122" s="47" t="s">
        <v>422</v>
      </c>
      <c r="O122" s="110"/>
      <c r="P122" s="391"/>
      <c r="Q122" s="110"/>
      <c r="R122" s="110"/>
    </row>
    <row r="123" spans="2:18" x14ac:dyDescent="0.3">
      <c r="B123" s="57" t="s">
        <v>422</v>
      </c>
      <c r="C123" s="57"/>
      <c r="D123" s="392"/>
      <c r="E123" s="57"/>
      <c r="F123" s="57"/>
      <c r="H123" s="57" t="s">
        <v>422</v>
      </c>
      <c r="I123" s="57"/>
      <c r="J123" s="57"/>
      <c r="K123" s="57"/>
      <c r="L123" s="57"/>
      <c r="N123" s="57" t="s">
        <v>423</v>
      </c>
      <c r="O123" s="57"/>
      <c r="P123" s="57"/>
      <c r="Q123" s="57"/>
      <c r="R123" s="57"/>
    </row>
    <row r="124" spans="2:18" x14ac:dyDescent="0.3">
      <c r="B124" s="47" t="str">
        <f>B123</f>
        <v>Solar B</v>
      </c>
      <c r="C124" s="110"/>
      <c r="D124" s="391"/>
      <c r="E124" s="110"/>
      <c r="F124" s="110"/>
      <c r="H124" s="47" t="str">
        <f>H123</f>
        <v>Solar B</v>
      </c>
      <c r="I124" s="110"/>
      <c r="J124" s="391"/>
      <c r="K124" s="110"/>
      <c r="L124" s="110"/>
      <c r="N124" s="47" t="s">
        <v>423</v>
      </c>
      <c r="O124" s="110"/>
      <c r="P124" s="391"/>
      <c r="Q124" s="110"/>
      <c r="R124" s="110"/>
    </row>
    <row r="125" spans="2:18" x14ac:dyDescent="0.3">
      <c r="B125" s="13"/>
      <c r="C125" s="13"/>
      <c r="D125" s="28"/>
      <c r="E125" s="13"/>
      <c r="F125" s="13"/>
      <c r="H125" s="13"/>
      <c r="I125" s="13"/>
      <c r="J125" s="13"/>
      <c r="K125" s="13"/>
      <c r="L125" s="13"/>
    </row>
    <row r="126" spans="2:18" ht="28.8" x14ac:dyDescent="0.3">
      <c r="B126" s="84" t="s">
        <v>164</v>
      </c>
      <c r="C126" s="80" t="s">
        <v>279</v>
      </c>
      <c r="D126" s="389" t="s">
        <v>397</v>
      </c>
      <c r="E126" s="389" t="s">
        <v>535</v>
      </c>
      <c r="F126" s="397" t="s">
        <v>536</v>
      </c>
      <c r="H126" s="84" t="s">
        <v>164</v>
      </c>
      <c r="I126" s="80" t="s">
        <v>279</v>
      </c>
      <c r="J126" s="389" t="s">
        <v>397</v>
      </c>
      <c r="K126" s="389" t="s">
        <v>535</v>
      </c>
      <c r="L126" s="397" t="s">
        <v>536</v>
      </c>
      <c r="N126" s="84" t="s">
        <v>164</v>
      </c>
      <c r="O126" s="80" t="s">
        <v>279</v>
      </c>
      <c r="P126" s="389" t="s">
        <v>397</v>
      </c>
      <c r="Q126" s="389" t="s">
        <v>535</v>
      </c>
      <c r="R126" s="397" t="s">
        <v>536</v>
      </c>
    </row>
    <row r="127" spans="2:18" x14ac:dyDescent="0.3">
      <c r="B127" s="7" t="s">
        <v>50</v>
      </c>
      <c r="C127" s="11"/>
      <c r="D127" s="422"/>
      <c r="E127" s="11"/>
      <c r="F127" s="11"/>
      <c r="H127" s="7" t="s">
        <v>50</v>
      </c>
      <c r="I127" s="11"/>
      <c r="J127" s="11"/>
      <c r="K127" s="11"/>
      <c r="L127" s="11"/>
      <c r="N127" s="7" t="s">
        <v>50</v>
      </c>
      <c r="O127" s="11"/>
      <c r="P127" s="11"/>
      <c r="Q127" s="11"/>
      <c r="R127" s="11"/>
    </row>
    <row r="128" spans="2:18" x14ac:dyDescent="0.3">
      <c r="B128" s="57" t="s">
        <v>51</v>
      </c>
      <c r="C128" s="57"/>
      <c r="D128" s="392"/>
      <c r="E128" s="57"/>
      <c r="F128" s="57"/>
      <c r="H128" s="57" t="s">
        <v>51</v>
      </c>
      <c r="I128" s="57"/>
      <c r="J128" s="57"/>
      <c r="K128" s="57"/>
      <c r="L128" s="57"/>
      <c r="N128" s="57" t="s">
        <v>51</v>
      </c>
      <c r="O128" s="57"/>
      <c r="P128" s="57"/>
      <c r="Q128" s="57"/>
      <c r="R128" s="57"/>
    </row>
    <row r="129" spans="2:18" x14ac:dyDescent="0.3">
      <c r="B129" s="47" t="s">
        <v>51</v>
      </c>
      <c r="C129" s="390">
        <v>2020</v>
      </c>
      <c r="D129" s="526">
        <v>5</v>
      </c>
      <c r="E129" s="522">
        <v>5500</v>
      </c>
      <c r="F129" s="522">
        <f>+E129*D129</f>
        <v>27500</v>
      </c>
      <c r="H129" s="47" t="s">
        <v>51</v>
      </c>
      <c r="I129" s="390">
        <v>2020</v>
      </c>
      <c r="J129" s="426">
        <v>5</v>
      </c>
      <c r="K129" s="522">
        <v>5500</v>
      </c>
      <c r="L129" s="522">
        <f>+K129*J129</f>
        <v>27500</v>
      </c>
      <c r="N129" s="47" t="s">
        <v>51</v>
      </c>
      <c r="O129" s="390">
        <v>2020</v>
      </c>
      <c r="P129" s="391">
        <v>5</v>
      </c>
      <c r="Q129" s="522">
        <v>5500</v>
      </c>
      <c r="R129" s="522">
        <f>+Q129*P129</f>
        <v>27500</v>
      </c>
    </row>
    <row r="130" spans="2:18" x14ac:dyDescent="0.3">
      <c r="B130" s="57" t="s">
        <v>232</v>
      </c>
      <c r="C130" s="57"/>
      <c r="D130" s="392"/>
      <c r="E130" s="57"/>
      <c r="F130" s="57"/>
      <c r="H130" s="57" t="s">
        <v>232</v>
      </c>
      <c r="I130" s="57"/>
      <c r="J130" s="57"/>
      <c r="K130" s="57"/>
      <c r="L130" s="57"/>
      <c r="N130" s="57" t="s">
        <v>424</v>
      </c>
      <c r="O130" s="57"/>
      <c r="P130" s="57"/>
      <c r="Q130" s="57"/>
      <c r="R130" s="57"/>
    </row>
    <row r="131" spans="2:18" x14ac:dyDescent="0.3">
      <c r="B131" s="47" t="str">
        <f>+B130</f>
        <v xml:space="preserve">Laguna Colorada </v>
      </c>
      <c r="C131" s="390">
        <v>2023</v>
      </c>
      <c r="D131" s="526">
        <v>100</v>
      </c>
      <c r="E131" s="522">
        <f>+E129</f>
        <v>5500</v>
      </c>
      <c r="F131" s="522">
        <f>+E131*D131</f>
        <v>550000</v>
      </c>
      <c r="H131" s="47" t="str">
        <f>+H130</f>
        <v xml:space="preserve">Laguna Colorada </v>
      </c>
      <c r="I131" s="390">
        <v>2023</v>
      </c>
      <c r="J131" s="426">
        <v>100</v>
      </c>
      <c r="K131" s="522">
        <f>+K129</f>
        <v>5500</v>
      </c>
      <c r="L131" s="522">
        <f>+K131*J131</f>
        <v>550000</v>
      </c>
      <c r="N131" s="47" t="s">
        <v>424</v>
      </c>
      <c r="O131" s="390"/>
      <c r="P131" s="391"/>
      <c r="Q131" s="110"/>
      <c r="R131" s="110"/>
    </row>
    <row r="132" spans="2:18" x14ac:dyDescent="0.3">
      <c r="B132" s="113"/>
      <c r="C132" s="393"/>
      <c r="D132" s="394"/>
      <c r="E132" s="28"/>
      <c r="F132" s="28"/>
      <c r="H132" s="113"/>
      <c r="I132" s="393"/>
      <c r="J132" s="394"/>
      <c r="K132" s="28"/>
      <c r="L132" s="28"/>
      <c r="N132" s="113"/>
      <c r="O132" s="393"/>
      <c r="P132" s="394"/>
      <c r="Q132" s="28"/>
      <c r="R132" s="28"/>
    </row>
    <row r="133" spans="2:18" ht="28.8" x14ac:dyDescent="0.3">
      <c r="B133" s="84" t="s">
        <v>164</v>
      </c>
      <c r="C133" s="80" t="s">
        <v>279</v>
      </c>
      <c r="D133" s="389" t="s">
        <v>397</v>
      </c>
      <c r="E133" s="389" t="s">
        <v>535</v>
      </c>
      <c r="F133" s="397" t="s">
        <v>536</v>
      </c>
      <c r="H133" s="84" t="s">
        <v>164</v>
      </c>
      <c r="I133" s="80" t="s">
        <v>279</v>
      </c>
      <c r="J133" s="389" t="s">
        <v>397</v>
      </c>
      <c r="K133" s="389" t="s">
        <v>535</v>
      </c>
      <c r="L133" s="397" t="s">
        <v>536</v>
      </c>
      <c r="N133" s="84" t="s">
        <v>164</v>
      </c>
      <c r="O133" s="80" t="s">
        <v>279</v>
      </c>
      <c r="P133" s="389" t="s">
        <v>397</v>
      </c>
      <c r="Q133" s="389" t="s">
        <v>535</v>
      </c>
      <c r="R133" s="397" t="s">
        <v>536</v>
      </c>
    </row>
    <row r="134" spans="2:18" x14ac:dyDescent="0.3">
      <c r="B134" s="7" t="s">
        <v>12</v>
      </c>
      <c r="C134" s="11"/>
      <c r="D134" s="422"/>
      <c r="E134" s="11"/>
      <c r="F134" s="11"/>
      <c r="H134" s="7" t="s">
        <v>12</v>
      </c>
      <c r="I134" s="11"/>
      <c r="J134" s="11"/>
      <c r="K134" s="11"/>
      <c r="L134" s="11"/>
      <c r="N134" s="7" t="s">
        <v>12</v>
      </c>
      <c r="O134" s="11"/>
      <c r="P134" s="11"/>
      <c r="Q134" s="11"/>
      <c r="R134" s="11"/>
    </row>
    <row r="135" spans="2:18" x14ac:dyDescent="0.3">
      <c r="B135" s="57" t="s">
        <v>14</v>
      </c>
      <c r="C135" s="57"/>
      <c r="D135" s="392"/>
      <c r="E135" s="57"/>
      <c r="F135" s="57"/>
      <c r="H135" s="57" t="s">
        <v>14</v>
      </c>
      <c r="I135" s="57"/>
      <c r="J135" s="57"/>
      <c r="K135" s="57"/>
      <c r="L135" s="57"/>
      <c r="N135" s="57" t="s">
        <v>14</v>
      </c>
      <c r="O135" s="57"/>
      <c r="P135" s="57"/>
      <c r="Q135" s="57"/>
      <c r="R135" s="57"/>
    </row>
    <row r="136" spans="2:18" x14ac:dyDescent="0.3">
      <c r="B136" s="47" t="str">
        <f>+B135</f>
        <v>San Buenaventura</v>
      </c>
      <c r="C136" s="390">
        <v>2020</v>
      </c>
      <c r="D136" s="526">
        <v>10</v>
      </c>
      <c r="E136" s="522">
        <v>4000</v>
      </c>
      <c r="F136" s="522">
        <f>+E136*D136</f>
        <v>40000</v>
      </c>
      <c r="H136" s="47" t="str">
        <f>+H135</f>
        <v>San Buenaventura</v>
      </c>
      <c r="I136" s="390">
        <v>2020</v>
      </c>
      <c r="J136" s="426">
        <v>10</v>
      </c>
      <c r="K136" s="522">
        <v>4000</v>
      </c>
      <c r="L136" s="522">
        <f>+K136*J136</f>
        <v>40000</v>
      </c>
      <c r="N136" s="47" t="str">
        <f>+N135</f>
        <v>San Buenaventura</v>
      </c>
      <c r="O136" s="390"/>
      <c r="P136" s="426"/>
      <c r="Q136" s="522"/>
      <c r="R136" s="522"/>
    </row>
    <row r="137" spans="2:18" x14ac:dyDescent="0.3">
      <c r="B137" s="57" t="s">
        <v>47</v>
      </c>
      <c r="C137" s="57"/>
      <c r="D137" s="392"/>
      <c r="E137" s="57"/>
      <c r="F137" s="57"/>
      <c r="H137" s="57" t="s">
        <v>47</v>
      </c>
      <c r="I137" s="57"/>
      <c r="J137" s="57"/>
      <c r="K137" s="57"/>
      <c r="L137" s="57"/>
      <c r="N137" s="57" t="s">
        <v>47</v>
      </c>
      <c r="O137" s="57"/>
      <c r="P137" s="57"/>
      <c r="Q137" s="57"/>
      <c r="R137" s="57"/>
    </row>
    <row r="138" spans="2:18" x14ac:dyDescent="0.3">
      <c r="B138" s="47" t="str">
        <f>+B137</f>
        <v>Cobija</v>
      </c>
      <c r="C138" s="390">
        <v>2020</v>
      </c>
      <c r="D138" s="526">
        <v>20</v>
      </c>
      <c r="E138" s="522">
        <f>+E136</f>
        <v>4000</v>
      </c>
      <c r="F138" s="522">
        <f>+E138*D138</f>
        <v>80000</v>
      </c>
      <c r="H138" s="47" t="str">
        <f>+H137</f>
        <v>Cobija</v>
      </c>
      <c r="I138" s="390">
        <v>2020</v>
      </c>
      <c r="J138" s="426">
        <v>20</v>
      </c>
      <c r="K138" s="522">
        <f>+K136</f>
        <v>4000</v>
      </c>
      <c r="L138" s="522">
        <f>+K138*J138</f>
        <v>80000</v>
      </c>
      <c r="N138" s="47" t="str">
        <f>+N137</f>
        <v>Cobija</v>
      </c>
      <c r="O138" s="390"/>
      <c r="P138" s="426"/>
      <c r="Q138" s="522"/>
      <c r="R138" s="522"/>
    </row>
    <row r="139" spans="2:18" x14ac:dyDescent="0.3">
      <c r="B139" s="57" t="s">
        <v>472</v>
      </c>
      <c r="C139" s="57"/>
      <c r="D139" s="392"/>
      <c r="E139" s="57"/>
      <c r="F139" s="57"/>
      <c r="H139" s="57" t="s">
        <v>472</v>
      </c>
      <c r="I139" s="57"/>
      <c r="J139" s="57"/>
      <c r="K139" s="57"/>
      <c r="L139" s="57"/>
      <c r="N139" s="57" t="s">
        <v>472</v>
      </c>
      <c r="O139" s="57"/>
      <c r="P139" s="57"/>
      <c r="Q139" s="57"/>
      <c r="R139" s="57"/>
    </row>
    <row r="140" spans="2:18" x14ac:dyDescent="0.3">
      <c r="B140" s="47" t="str">
        <f>+B139</f>
        <v>Riberalta</v>
      </c>
      <c r="C140" s="390">
        <v>2020</v>
      </c>
      <c r="D140" s="526">
        <v>20</v>
      </c>
      <c r="E140" s="522">
        <f>+E138</f>
        <v>4000</v>
      </c>
      <c r="F140" s="522">
        <f>+E140*D140</f>
        <v>80000</v>
      </c>
      <c r="H140" s="47" t="str">
        <f>+H139</f>
        <v>Riberalta</v>
      </c>
      <c r="I140" s="390">
        <v>2020</v>
      </c>
      <c r="J140" s="426">
        <v>20</v>
      </c>
      <c r="K140" s="522">
        <f>+K138</f>
        <v>4000</v>
      </c>
      <c r="L140" s="522">
        <f>+K140*J140</f>
        <v>80000</v>
      </c>
      <c r="N140" s="47" t="str">
        <f>+N139</f>
        <v>Riberalta</v>
      </c>
      <c r="O140" s="390"/>
      <c r="P140" s="426"/>
      <c r="Q140" s="522"/>
      <c r="R140" s="522"/>
    </row>
    <row r="141" spans="2:18" x14ac:dyDescent="0.3">
      <c r="B141" s="113"/>
      <c r="C141" s="393"/>
      <c r="D141" s="394"/>
      <c r="E141" s="28"/>
      <c r="F141" s="28"/>
      <c r="H141" s="113"/>
      <c r="I141" s="393"/>
      <c r="J141" s="394"/>
      <c r="K141" s="28"/>
      <c r="L141" s="28"/>
    </row>
  </sheetData>
  <mergeCells count="9">
    <mergeCell ref="H5:L5"/>
    <mergeCell ref="B5:F5"/>
    <mergeCell ref="N5:R5"/>
    <mergeCell ref="B7:C7"/>
    <mergeCell ref="B14:C14"/>
    <mergeCell ref="H7:I7"/>
    <mergeCell ref="H14:I14"/>
    <mergeCell ref="N7:O7"/>
    <mergeCell ref="N14:O14"/>
  </mergeCells>
  <pageMargins left="0.7" right="0.7" top="0.75" bottom="0.75" header="0.3" footer="0.3"/>
  <ignoredErrors>
    <ignoredError sqref="E8:E13 Q8:Q13 K8:K13" formula="1"/>
  </ignoredErrors>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6"/>
  <sheetViews>
    <sheetView tabSelected="1" workbookViewId="0">
      <selection activeCell="E2" sqref="E2"/>
    </sheetView>
  </sheetViews>
  <sheetFormatPr baseColWidth="10" defaultRowHeight="14.4" x14ac:dyDescent="0.3"/>
  <cols>
    <col min="1" max="1" width="35.44140625" customWidth="1"/>
    <col min="2" max="2" width="9.5546875" bestFit="1" customWidth="1"/>
    <col min="3" max="3" width="12" bestFit="1" customWidth="1"/>
    <col min="4" max="15" width="11" bestFit="1" customWidth="1"/>
  </cols>
  <sheetData>
    <row r="1" spans="1:28" ht="15" thickBot="1" x14ac:dyDescent="0.35"/>
    <row r="2" spans="1:28" ht="15" thickBot="1" x14ac:dyDescent="0.35">
      <c r="B2" s="574" t="s">
        <v>550</v>
      </c>
      <c r="C2" s="574"/>
      <c r="D2" s="575" t="s">
        <v>541</v>
      </c>
      <c r="E2" s="542"/>
      <c r="F2" s="542"/>
      <c r="G2" s="542"/>
      <c r="H2" s="542"/>
      <c r="I2" s="542"/>
    </row>
    <row r="3" spans="1:28" s="540" customFormat="1" x14ac:dyDescent="0.3">
      <c r="B3" s="576" t="s">
        <v>546</v>
      </c>
      <c r="C3" s="577"/>
      <c r="D3" s="578">
        <v>32.915706445404012</v>
      </c>
      <c r="E3" s="573"/>
      <c r="F3" s="572"/>
      <c r="G3" s="572"/>
      <c r="H3" s="573"/>
      <c r="I3" s="573"/>
      <c r="K3" s="541"/>
      <c r="L3" s="541"/>
      <c r="M3" s="541"/>
      <c r="N3" s="541"/>
      <c r="O3" s="541"/>
      <c r="P3" s="541"/>
      <c r="Q3" s="541"/>
      <c r="R3" s="541"/>
      <c r="S3" s="541"/>
      <c r="T3" s="541"/>
      <c r="U3" s="541"/>
      <c r="V3" s="541"/>
      <c r="W3" s="541"/>
      <c r="X3" s="541"/>
      <c r="Y3" s="541"/>
      <c r="Z3" s="541"/>
      <c r="AA3" s="541"/>
      <c r="AB3" s="541"/>
    </row>
    <row r="4" spans="1:28" s="540" customFormat="1" x14ac:dyDescent="0.3">
      <c r="B4" s="543" t="s">
        <v>547</v>
      </c>
      <c r="C4" s="571"/>
      <c r="D4" s="544">
        <v>50.190333921030984</v>
      </c>
      <c r="E4" s="573"/>
      <c r="F4" s="572"/>
      <c r="G4" s="572"/>
      <c r="H4" s="573"/>
      <c r="I4" s="573"/>
      <c r="K4" s="541"/>
      <c r="L4" s="541"/>
      <c r="M4" s="541"/>
      <c r="N4" s="541"/>
      <c r="O4" s="541"/>
      <c r="P4" s="541"/>
      <c r="Q4" s="541"/>
      <c r="R4" s="541"/>
      <c r="S4" s="541"/>
      <c r="T4" s="541"/>
      <c r="U4" s="541"/>
      <c r="V4" s="541"/>
      <c r="W4" s="541"/>
      <c r="X4" s="541"/>
      <c r="Y4" s="541"/>
      <c r="Z4" s="541"/>
      <c r="AA4" s="541"/>
      <c r="AB4" s="541"/>
    </row>
    <row r="5" spans="1:28" s="540" customFormat="1" x14ac:dyDescent="0.3">
      <c r="B5" s="543" t="s">
        <v>548</v>
      </c>
      <c r="C5" s="571"/>
      <c r="D5" s="544">
        <v>62.547516125932603</v>
      </c>
      <c r="E5" s="573"/>
      <c r="F5" s="572"/>
      <c r="G5" s="572"/>
      <c r="H5" s="573"/>
      <c r="I5" s="573"/>
      <c r="K5" s="541"/>
      <c r="L5" s="541"/>
      <c r="M5" s="541"/>
      <c r="N5" s="541"/>
      <c r="O5" s="541"/>
      <c r="P5" s="541"/>
      <c r="Q5" s="541"/>
      <c r="R5" s="541"/>
      <c r="S5" s="541"/>
      <c r="T5" s="541"/>
      <c r="U5" s="541"/>
      <c r="V5" s="541"/>
      <c r="W5" s="541"/>
      <c r="X5" s="541"/>
      <c r="Y5" s="541"/>
      <c r="Z5" s="541"/>
      <c r="AA5" s="541"/>
      <c r="AB5" s="541"/>
    </row>
    <row r="6" spans="1:28" s="540" customFormat="1" x14ac:dyDescent="0.3">
      <c r="B6" s="543" t="s">
        <v>8</v>
      </c>
      <c r="C6" s="571"/>
      <c r="D6" s="544">
        <v>72.043164824512445</v>
      </c>
      <c r="E6" s="573"/>
      <c r="F6" s="572"/>
      <c r="G6" s="572"/>
      <c r="H6" s="573"/>
      <c r="I6" s="573"/>
      <c r="K6" s="541"/>
      <c r="L6" s="541"/>
      <c r="M6" s="541"/>
      <c r="N6" s="541"/>
      <c r="O6" s="541"/>
      <c r="P6" s="541"/>
      <c r="Q6" s="541"/>
      <c r="R6" s="541"/>
      <c r="S6" s="541"/>
      <c r="T6" s="541"/>
      <c r="U6" s="541"/>
      <c r="V6" s="541"/>
      <c r="W6" s="541"/>
      <c r="X6" s="541"/>
      <c r="Y6" s="541"/>
      <c r="Z6" s="541"/>
      <c r="AA6" s="541"/>
      <c r="AB6" s="541"/>
    </row>
    <row r="7" spans="1:28" s="540" customFormat="1" x14ac:dyDescent="0.3">
      <c r="B7" s="543" t="s">
        <v>549</v>
      </c>
      <c r="C7" s="571"/>
      <c r="D7" s="544">
        <v>72.043164824512431</v>
      </c>
      <c r="E7" s="573"/>
      <c r="F7" s="572"/>
      <c r="G7" s="572"/>
      <c r="H7" s="573"/>
      <c r="I7" s="573"/>
      <c r="K7" s="541"/>
      <c r="L7" s="541"/>
      <c r="M7" s="541"/>
      <c r="N7" s="541"/>
      <c r="O7" s="541"/>
      <c r="P7" s="541"/>
      <c r="Q7" s="541"/>
      <c r="R7" s="541"/>
      <c r="S7" s="541"/>
      <c r="T7" s="541"/>
      <c r="U7" s="541"/>
      <c r="V7" s="541"/>
      <c r="W7" s="541"/>
      <c r="X7" s="541"/>
      <c r="Y7" s="541"/>
      <c r="Z7" s="541"/>
      <c r="AA7" s="541"/>
      <c r="AB7" s="541"/>
    </row>
    <row r="8" spans="1:28" s="540" customFormat="1" x14ac:dyDescent="0.3">
      <c r="B8" s="543" t="s">
        <v>50</v>
      </c>
      <c r="C8" s="571"/>
      <c r="D8" s="544">
        <v>81.355609104148087</v>
      </c>
      <c r="E8" s="573"/>
      <c r="F8" s="572"/>
      <c r="G8" s="572"/>
      <c r="H8" s="573"/>
      <c r="I8" s="573"/>
      <c r="K8" s="541"/>
      <c r="L8" s="541"/>
      <c r="M8" s="541"/>
      <c r="N8" s="541"/>
      <c r="O8" s="541"/>
      <c r="P8" s="541"/>
      <c r="Q8" s="541"/>
      <c r="R8" s="541"/>
      <c r="S8" s="541"/>
      <c r="T8" s="541"/>
      <c r="U8" s="541"/>
      <c r="V8" s="541"/>
      <c r="W8" s="541"/>
      <c r="X8" s="541"/>
      <c r="Y8" s="541"/>
      <c r="Z8" s="541"/>
      <c r="AA8" s="541"/>
      <c r="AB8" s="541"/>
    </row>
    <row r="9" spans="1:28" s="540" customFormat="1" ht="15" thickBot="1" x14ac:dyDescent="0.35">
      <c r="B9" s="545" t="s">
        <v>12</v>
      </c>
      <c r="C9" s="579"/>
      <c r="D9" s="546">
        <v>88.435254361233518</v>
      </c>
      <c r="E9" s="573"/>
      <c r="F9" s="572"/>
      <c r="G9" s="572"/>
      <c r="H9" s="573"/>
      <c r="I9" s="573"/>
      <c r="K9" s="541"/>
      <c r="L9" s="541"/>
      <c r="M9" s="541"/>
      <c r="N9" s="541"/>
      <c r="O9" s="541"/>
      <c r="P9" s="541"/>
      <c r="Q9" s="541"/>
      <c r="R9" s="541"/>
      <c r="S9" s="541"/>
      <c r="T9" s="541"/>
      <c r="U9" s="541"/>
      <c r="V9" s="541"/>
      <c r="W9" s="541"/>
      <c r="X9" s="541"/>
      <c r="Y9" s="541"/>
      <c r="Z9" s="541"/>
      <c r="AA9" s="541"/>
      <c r="AB9" s="541"/>
    </row>
    <row r="10" spans="1:28" s="540" customFormat="1" x14ac:dyDescent="0.3">
      <c r="A10" s="541"/>
      <c r="B10" s="541"/>
      <c r="C10" s="541"/>
      <c r="D10" s="541"/>
      <c r="E10" s="541"/>
      <c r="F10" s="541"/>
      <c r="G10" s="541"/>
      <c r="H10" s="541"/>
      <c r="I10" s="541"/>
      <c r="J10" s="541"/>
      <c r="K10" s="541"/>
      <c r="L10" s="541"/>
      <c r="M10" s="541"/>
      <c r="N10" s="541"/>
      <c r="O10" s="541"/>
      <c r="P10" s="541"/>
      <c r="Q10" s="541"/>
      <c r="R10" s="541"/>
      <c r="S10" s="541"/>
      <c r="T10" s="541"/>
      <c r="U10" s="541"/>
      <c r="V10" s="541"/>
      <c r="W10" s="541"/>
      <c r="X10" s="541"/>
      <c r="Y10" s="541"/>
      <c r="Z10" s="541"/>
      <c r="AA10" s="541"/>
      <c r="AB10" s="541"/>
    </row>
    <row r="11" spans="1:28" s="1" customFormat="1" x14ac:dyDescent="0.3">
      <c r="C11" s="439">
        <v>2018</v>
      </c>
      <c r="D11" s="440">
        <v>2019</v>
      </c>
      <c r="E11" s="440">
        <v>2020</v>
      </c>
      <c r="F11" s="440">
        <v>2021</v>
      </c>
      <c r="G11" s="438">
        <v>2022</v>
      </c>
      <c r="H11" s="381">
        <v>2023</v>
      </c>
      <c r="I11" s="381">
        <v>2024</v>
      </c>
      <c r="J11" s="381">
        <v>2025</v>
      </c>
      <c r="K11" s="381">
        <v>2026</v>
      </c>
      <c r="L11" s="381">
        <v>2027</v>
      </c>
      <c r="M11" s="381">
        <v>2028</v>
      </c>
      <c r="N11" s="381">
        <v>2029</v>
      </c>
      <c r="O11" s="381">
        <v>2030</v>
      </c>
      <c r="P11" s="381"/>
      <c r="Q11" s="381"/>
      <c r="R11" s="381"/>
      <c r="S11" s="381"/>
      <c r="T11" s="381"/>
      <c r="U11" s="381"/>
      <c r="V11" s="381"/>
      <c r="W11" s="381"/>
      <c r="X11" s="381"/>
      <c r="Y11" s="381"/>
      <c r="Z11" s="381"/>
      <c r="AA11" s="381"/>
      <c r="AB11" s="381"/>
    </row>
    <row r="12" spans="1:28" ht="15" thickBot="1" x14ac:dyDescent="0.35">
      <c r="A12" s="570" t="s">
        <v>487</v>
      </c>
      <c r="C12" s="538"/>
      <c r="D12" s="541"/>
      <c r="E12" s="541"/>
      <c r="F12" s="541"/>
      <c r="G12" s="541"/>
      <c r="H12" s="541"/>
      <c r="I12" s="541"/>
      <c r="J12" s="541"/>
      <c r="K12" s="541"/>
      <c r="L12" s="541"/>
      <c r="M12" s="541"/>
      <c r="N12" s="541"/>
      <c r="O12" s="541"/>
    </row>
    <row r="13" spans="1:28" ht="15" thickBot="1" x14ac:dyDescent="0.35">
      <c r="A13" s="567" t="s">
        <v>544</v>
      </c>
      <c r="B13" s="568">
        <f>NPV(10%,C14:O14)/NPV(10%,C15:O15)</f>
        <v>54.344862440401798</v>
      </c>
      <c r="C13" s="569" t="s">
        <v>541</v>
      </c>
      <c r="D13" s="541"/>
      <c r="E13" s="541"/>
      <c r="F13" s="541"/>
      <c r="G13" s="541"/>
      <c r="H13" s="541"/>
      <c r="I13" s="541"/>
      <c r="J13" s="541"/>
      <c r="K13" s="541"/>
      <c r="L13" s="541"/>
      <c r="M13" s="541"/>
      <c r="N13" s="541"/>
      <c r="O13" s="541"/>
    </row>
    <row r="14" spans="1:28" ht="15" thickBot="1" x14ac:dyDescent="0.35">
      <c r="A14" s="563" t="s">
        <v>551</v>
      </c>
      <c r="B14" s="564" t="s">
        <v>545</v>
      </c>
      <c r="C14" s="565">
        <f t="shared" ref="C14:O14" si="0">SUMPRODUCT($D$3:$D$9,C16:C22)</f>
        <v>428962.68249471067</v>
      </c>
      <c r="D14" s="565">
        <f t="shared" si="0"/>
        <v>559433.7219261399</v>
      </c>
      <c r="E14" s="565">
        <f t="shared" si="0"/>
        <v>616390.13803106709</v>
      </c>
      <c r="F14" s="565">
        <f t="shared" si="0"/>
        <v>704573.19775692502</v>
      </c>
      <c r="G14" s="565">
        <f t="shared" si="0"/>
        <v>743336.50125253107</v>
      </c>
      <c r="H14" s="565">
        <f t="shared" si="0"/>
        <v>784257.30787752185</v>
      </c>
      <c r="I14" s="565">
        <f t="shared" si="0"/>
        <v>827498.3718144031</v>
      </c>
      <c r="J14" s="565">
        <f t="shared" si="0"/>
        <v>873183.60045004322</v>
      </c>
      <c r="K14" s="565">
        <f t="shared" si="0"/>
        <v>908060.87982698402</v>
      </c>
      <c r="L14" s="565">
        <f t="shared" si="0"/>
        <v>943484.8061041492</v>
      </c>
      <c r="M14" s="565">
        <f t="shared" si="0"/>
        <v>989509.56845084182</v>
      </c>
      <c r="N14" s="565">
        <f t="shared" si="0"/>
        <v>1059219.722722755</v>
      </c>
      <c r="O14" s="566">
        <f t="shared" si="0"/>
        <v>1110237.5942766143</v>
      </c>
    </row>
    <row r="15" spans="1:28" ht="15" thickBot="1" x14ac:dyDescent="0.35">
      <c r="A15" s="559" t="s">
        <v>540</v>
      </c>
      <c r="B15" s="560"/>
      <c r="C15" s="561">
        <f>SUM(C16:C22)</f>
        <v>9475.5042714120063</v>
      </c>
      <c r="D15" s="561">
        <f t="shared" ref="D15:O15" si="1">SUM(D16:D22)</f>
        <v>10272.542997405022</v>
      </c>
      <c r="E15" s="561">
        <f t="shared" si="1"/>
        <v>11094.235451978355</v>
      </c>
      <c r="F15" s="561">
        <f t="shared" si="1"/>
        <v>12258.198966666665</v>
      </c>
      <c r="G15" s="561">
        <f t="shared" si="1"/>
        <v>13030.525039583334</v>
      </c>
      <c r="H15" s="561">
        <f t="shared" si="1"/>
        <v>13845.837539583337</v>
      </c>
      <c r="I15" s="561">
        <f t="shared" si="1"/>
        <v>14707.379206249998</v>
      </c>
      <c r="J15" s="561">
        <f t="shared" si="1"/>
        <v>15617.61878958333</v>
      </c>
      <c r="K15" s="561">
        <f t="shared" si="1"/>
        <v>16579.09795625</v>
      </c>
      <c r="L15" s="561">
        <f t="shared" si="1"/>
        <v>17594.545872916668</v>
      </c>
      <c r="M15" s="561">
        <f t="shared" si="1"/>
        <v>18666.816706250003</v>
      </c>
      <c r="N15" s="561">
        <f t="shared" si="1"/>
        <v>19798.900039583339</v>
      </c>
      <c r="O15" s="562">
        <f t="shared" si="1"/>
        <v>20993.983372916668</v>
      </c>
      <c r="P15" s="537"/>
      <c r="Q15" s="537"/>
    </row>
    <row r="16" spans="1:28" x14ac:dyDescent="0.3">
      <c r="A16" s="549" t="str">
        <f t="shared" ref="A16:A22" si="2">+B3</f>
        <v>Simple Cycle</v>
      </c>
      <c r="B16" s="550"/>
      <c r="C16" s="551">
        <f>(Scenario_Current_Demand!O118-Scenario_Current_Demand!O155-Scenario_Current_Demand!O156-Scenario_Current_Demand!O158)/1000</f>
        <v>5185.9081781058594</v>
      </c>
      <c r="D16" s="551">
        <f>(Scenario_Current_Demand!P118-Scenario_Current_Demand!P155-Scenario_Current_Demand!P156-Scenario_Current_Demand!P158)/1000</f>
        <v>423.68670776554285</v>
      </c>
      <c r="E16" s="551">
        <f>(Scenario_Current_Demand!Q118-Scenario_Current_Demand!Q155-Scenario_Current_Demand!Q156-Scenario_Current_Demand!Q158)/1000</f>
        <v>0</v>
      </c>
      <c r="F16" s="551">
        <f>(Scenario_Current_Demand!R118-Scenario_Current_Demand!R155-Scenario_Current_Demand!R156-Scenario_Current_Demand!R158)/1000</f>
        <v>0</v>
      </c>
      <c r="G16" s="551">
        <f>(Scenario_Current_Demand!S118-Scenario_Current_Demand!S155-Scenario_Current_Demand!S156-Scenario_Current_Demand!S158)/1000</f>
        <v>0</v>
      </c>
      <c r="H16" s="551">
        <f>(Scenario_Current_Demand!T118-Scenario_Current_Demand!T155-Scenario_Current_Demand!T156-Scenario_Current_Demand!T158)/1000</f>
        <v>0</v>
      </c>
      <c r="I16" s="551">
        <f>(Scenario_Current_Demand!U118-Scenario_Current_Demand!U155-Scenario_Current_Demand!U156-Scenario_Current_Demand!U158)/1000</f>
        <v>0</v>
      </c>
      <c r="J16" s="551">
        <f>(Scenario_Current_Demand!V118-Scenario_Current_Demand!V155-Scenario_Current_Demand!V156-Scenario_Current_Demand!V158)/1000</f>
        <v>0</v>
      </c>
      <c r="K16" s="551">
        <f>(Scenario_Current_Demand!W118-Scenario_Current_Demand!W155-Scenario_Current_Demand!W156-Scenario_Current_Demand!W158)/1000</f>
        <v>774.5279066105212</v>
      </c>
      <c r="L16" s="551">
        <f>(Scenario_Current_Demand!X118-Scenario_Current_Demand!X155-Scenario_Current_Demand!X156-Scenario_Current_Demand!X158)/1000</f>
        <v>1674.214094441666</v>
      </c>
      <c r="M16" s="551">
        <f>(Scenario_Current_Demand!Y118-Scenario_Current_Demand!Y155-Scenario_Current_Demand!Y156-Scenario_Current_Demand!Y158)/1000</f>
        <v>2125.3305566105232</v>
      </c>
      <c r="N16" s="551">
        <f>(Scenario_Current_Demand!Z118-Scenario_Current_Demand!Z155-Scenario_Current_Demand!Z156-Scenario_Current_Demand!Z158)/1000</f>
        <v>2162.4138899438581</v>
      </c>
      <c r="O16" s="552">
        <f>(Scenario_Current_Demand!AA118-Scenario_Current_Demand!AA155-Scenario_Current_Demand!AA156-Scenario_Current_Demand!AA158)/1000</f>
        <v>2963.2972232771867</v>
      </c>
      <c r="P16" s="537"/>
      <c r="Q16" s="537"/>
    </row>
    <row r="17" spans="1:17" x14ac:dyDescent="0.3">
      <c r="A17" s="553" t="str">
        <f t="shared" si="2"/>
        <v>Combined cycle</v>
      </c>
      <c r="B17" s="554"/>
      <c r="C17" s="555">
        <f>(+Scenario_Current_Demand!O28+Scenario_Current_Demand!O155+Scenario_Current_Demand!O156+Scenario_Current_Demand!O158)/1000</f>
        <v>1112.9516346473881</v>
      </c>
      <c r="D17" s="555">
        <f>(+Scenario_Current_Demand!P28+Scenario_Current_Demand!P155+Scenario_Current_Demand!P156+Scenario_Current_Demand!P158)/1000</f>
        <v>6170.0396946473875</v>
      </c>
      <c r="E17" s="555">
        <f>(+Scenario_Current_Demand!Q28+Scenario_Current_Demand!Q155+Scenario_Current_Demand!Q156+Scenario_Current_Demand!Q158)/1000</f>
        <v>7047.0608569862625</v>
      </c>
      <c r="F17" s="555">
        <f>(+Scenario_Current_Demand!R28+Scenario_Current_Demand!R155+Scenario_Current_Demand!R156+Scenario_Current_Demand!R158)/1000</f>
        <v>5908.4583716745738</v>
      </c>
      <c r="G17" s="555">
        <f>(+Scenario_Current_Demand!S28+Scenario_Current_Demand!S155+Scenario_Current_Demand!S156+Scenario_Current_Demand!S158)/1000</f>
        <v>6680.7844445912424</v>
      </c>
      <c r="H17" s="555">
        <f>(+Scenario_Current_Demand!T28+Scenario_Current_Demand!T155+Scenario_Current_Demand!T156+Scenario_Current_Demand!T158)/1000</f>
        <v>7496.0969445912451</v>
      </c>
      <c r="I17" s="555">
        <f>(+Scenario_Current_Demand!U28+Scenario_Current_Demand!U155+Scenario_Current_Demand!U156+Scenario_Current_Demand!U158)/1000</f>
        <v>8357.6386112579075</v>
      </c>
      <c r="J17" s="555">
        <f>(+Scenario_Current_Demand!V28+Scenario_Current_Demand!V155+Scenario_Current_Demand!V156+Scenario_Current_Demand!V158)/1000</f>
        <v>9267.8781945912397</v>
      </c>
      <c r="K17" s="555">
        <f>(+Scenario_Current_Demand!W28+Scenario_Current_Demand!W155+Scenario_Current_Demand!W156+Scenario_Current_Demand!W158)/1000</f>
        <v>9454.829454647388</v>
      </c>
      <c r="L17" s="555">
        <f>(+Scenario_Current_Demand!X28+Scenario_Current_Demand!X155+Scenario_Current_Demand!X156+Scenario_Current_Demand!X158)/1000</f>
        <v>9570.5911834829094</v>
      </c>
      <c r="M17" s="555">
        <f>(+Scenario_Current_Demand!Y28+Scenario_Current_Demand!Y155+Scenario_Current_Demand!Y156+Scenario_Current_Demand!Y158)/1000</f>
        <v>10191.745554647388</v>
      </c>
      <c r="N17" s="555">
        <f>(+Scenario_Current_Demand!Z28+Scenario_Current_Demand!Z155+Scenario_Current_Demand!Z156+Scenario_Current_Demand!Z158)/1000</f>
        <v>10191.745554647388</v>
      </c>
      <c r="O17" s="556">
        <f>(+Scenario_Current_Demand!AA28+Scenario_Current_Demand!AA155+Scenario_Current_Demand!AA156+Scenario_Current_Demand!AA158)/1000</f>
        <v>10191.745554647388</v>
      </c>
      <c r="P17" s="537"/>
      <c r="Q17" s="537"/>
    </row>
    <row r="18" spans="1:17" x14ac:dyDescent="0.3">
      <c r="A18" s="553" t="str">
        <f t="shared" si="2"/>
        <v>Hydroelectric</v>
      </c>
      <c r="B18" s="554"/>
      <c r="C18" s="555">
        <f>(+Scenario_Current_Demand!O190+Scenario_Current_Demand!O45)/1000</f>
        <v>2892.1389793254239</v>
      </c>
      <c r="D18" s="555">
        <f>(+Scenario_Current_Demand!P190+Scenario_Current_Demand!P45)/1000</f>
        <v>3184.0711156587572</v>
      </c>
      <c r="E18" s="555">
        <f>(+Scenario_Current_Demand!Q190+Scenario_Current_Demand!Q45)/1000</f>
        <v>3184.0711156587572</v>
      </c>
      <c r="F18" s="555">
        <f>(+Scenario_Current_Demand!R190+Scenario_Current_Demand!R45)/1000</f>
        <v>5348.6671156587572</v>
      </c>
      <c r="G18" s="555">
        <f>(+Scenario_Current_Demand!S190+Scenario_Current_Demand!S45)/1000</f>
        <v>5348.6671156587572</v>
      </c>
      <c r="H18" s="555">
        <f>(+Scenario_Current_Demand!T190+Scenario_Current_Demand!T45)/1000</f>
        <v>5348.6671156587572</v>
      </c>
      <c r="I18" s="555">
        <f>(+Scenario_Current_Demand!U190+Scenario_Current_Demand!U45)/1000</f>
        <v>5348.6671156587572</v>
      </c>
      <c r="J18" s="555">
        <f>(+Scenario_Current_Demand!V190+Scenario_Current_Demand!V45)/1000</f>
        <v>5348.6671156587572</v>
      </c>
      <c r="K18" s="555">
        <f>(+Scenario_Current_Demand!W190+Scenario_Current_Demand!W45)/1000</f>
        <v>5348.6671156587572</v>
      </c>
      <c r="L18" s="555">
        <f>(+Scenario_Current_Demand!X190+Scenario_Current_Demand!X45)/1000</f>
        <v>5348.6671156587572</v>
      </c>
      <c r="M18" s="555">
        <f>(+Scenario_Current_Demand!Y190+Scenario_Current_Demand!Y45)/1000</f>
        <v>5348.6671156587572</v>
      </c>
      <c r="N18" s="555">
        <f>(+Scenario_Current_Demand!Z190+Scenario_Current_Demand!Z45)/1000</f>
        <v>6443.6671156587572</v>
      </c>
      <c r="O18" s="556">
        <f>(+Scenario_Current_Demand!AA190+Scenario_Current_Demand!AA45)/1000</f>
        <v>6837.867115658757</v>
      </c>
      <c r="P18" s="537"/>
      <c r="Q18" s="537"/>
    </row>
    <row r="19" spans="1:17" x14ac:dyDescent="0.3">
      <c r="A19" s="553" t="str">
        <f t="shared" si="2"/>
        <v>Wind</v>
      </c>
      <c r="B19" s="554"/>
      <c r="C19" s="555">
        <f>(+Scenario_Current_Demand!O72+Scenario_Current_Demand!O270)/1000</f>
        <v>86.072579000000005</v>
      </c>
      <c r="D19" s="555">
        <f>(+Scenario_Current_Demand!P72+Scenario_Current_Demand!P270)/1000</f>
        <v>86.072579000000005</v>
      </c>
      <c r="E19" s="555">
        <f>(+Scenario_Current_Demand!Q72+Scenario_Current_Demand!Q270)/1000</f>
        <v>417.200579</v>
      </c>
      <c r="F19" s="555">
        <f>(+Scenario_Current_Demand!R72+Scenario_Current_Demand!R270)/1000</f>
        <v>555.17057899999998</v>
      </c>
      <c r="G19" s="555">
        <f>(+Scenario_Current_Demand!S72+Scenario_Current_Demand!S270)/1000</f>
        <v>555.17057899999998</v>
      </c>
      <c r="H19" s="555">
        <f>(+Scenario_Current_Demand!T72+Scenario_Current_Demand!T270)/1000</f>
        <v>555.17057899999998</v>
      </c>
      <c r="I19" s="555">
        <f>(+Scenario_Current_Demand!U72+Scenario_Current_Demand!U270)/1000</f>
        <v>555.17057899999998</v>
      </c>
      <c r="J19" s="555">
        <f>(+Scenario_Current_Demand!V72+Scenario_Current_Demand!V270)/1000</f>
        <v>555.17057899999998</v>
      </c>
      <c r="K19" s="555">
        <f>(+Scenario_Current_Demand!W72+Scenario_Current_Demand!W270)/1000</f>
        <v>555.17057899999998</v>
      </c>
      <c r="L19" s="555">
        <f>(+Scenario_Current_Demand!X72+Scenario_Current_Demand!X270)/1000</f>
        <v>555.17057899999998</v>
      </c>
      <c r="M19" s="555">
        <f>(+Scenario_Current_Demand!Y72+Scenario_Current_Demand!Y270)/1000</f>
        <v>555.17057899999998</v>
      </c>
      <c r="N19" s="555">
        <f>(+Scenario_Current_Demand!Z72+Scenario_Current_Demand!Z270)/1000</f>
        <v>555.17057899999998</v>
      </c>
      <c r="O19" s="556">
        <f>(+Scenario_Current_Demand!AA72+Scenario_Current_Demand!AA270)/1000</f>
        <v>555.17057899999998</v>
      </c>
      <c r="P19" s="537"/>
      <c r="Q19" s="537"/>
    </row>
    <row r="20" spans="1:17" x14ac:dyDescent="0.3">
      <c r="A20" s="553" t="str">
        <f t="shared" si="2"/>
        <v>Solar</v>
      </c>
      <c r="B20" s="554"/>
      <c r="C20" s="555">
        <f>(+Scenario_Current_Demand!O90)/1000</f>
        <v>136.65600000000001</v>
      </c>
      <c r="D20" s="555">
        <f>(+Scenario_Current_Demand!P90)/1000</f>
        <v>346.89600000000002</v>
      </c>
      <c r="E20" s="555">
        <f>(+Scenario_Current_Demand!Q90)/1000</f>
        <v>346.89600000000002</v>
      </c>
      <c r="F20" s="555">
        <f>(+Scenario_Current_Demand!R90)/1000</f>
        <v>346.89600000000002</v>
      </c>
      <c r="G20" s="555">
        <f>(+Scenario_Current_Demand!S90)/1000</f>
        <v>346.89600000000002</v>
      </c>
      <c r="H20" s="555">
        <f>(+Scenario_Current_Demand!T90)/1000</f>
        <v>346.89600000000002</v>
      </c>
      <c r="I20" s="555">
        <f>(+Scenario_Current_Demand!U90)/1000</f>
        <v>346.89600000000002</v>
      </c>
      <c r="J20" s="555">
        <f>(+Scenario_Current_Demand!V90)/1000</f>
        <v>346.89600000000002</v>
      </c>
      <c r="K20" s="555">
        <f>(+Scenario_Current_Demand!W90)/1000</f>
        <v>346.89600000000002</v>
      </c>
      <c r="L20" s="555">
        <f>(+Scenario_Current_Demand!X90)/1000</f>
        <v>346.89600000000002</v>
      </c>
      <c r="M20" s="555">
        <f>(+Scenario_Current_Demand!Y90)/1000</f>
        <v>346.89600000000002</v>
      </c>
      <c r="N20" s="555">
        <f>(+Scenario_Current_Demand!Z90)/1000</f>
        <v>346.89600000000002</v>
      </c>
      <c r="O20" s="556">
        <f>(+Scenario_Current_Demand!AA90)/1000</f>
        <v>346.89600000000002</v>
      </c>
      <c r="P20" s="537"/>
      <c r="Q20" s="537"/>
    </row>
    <row r="21" spans="1:17" x14ac:dyDescent="0.3">
      <c r="A21" s="553" t="str">
        <f t="shared" si="2"/>
        <v>Geothermal</v>
      </c>
      <c r="B21" s="554"/>
      <c r="C21" s="555">
        <f>+Scenario_Current_Demand!O107/1000</f>
        <v>0</v>
      </c>
      <c r="D21" s="555">
        <f>+Scenario_Current_Demand!P107/1000</f>
        <v>0</v>
      </c>
      <c r="E21" s="555">
        <f>+Scenario_Current_Demand!Q107/1000</f>
        <v>37.229999999999997</v>
      </c>
      <c r="F21" s="555">
        <f>+Scenario_Current_Demand!R107/1000</f>
        <v>37.229999999999997</v>
      </c>
      <c r="G21" s="555">
        <f>+Scenario_Current_Demand!S107/1000</f>
        <v>37.229999999999997</v>
      </c>
      <c r="H21" s="555">
        <f>+Scenario_Current_Demand!T107/1000</f>
        <v>37.229999999999997</v>
      </c>
      <c r="I21" s="555">
        <f>+Scenario_Current_Demand!U107/1000</f>
        <v>37.229999999999997</v>
      </c>
      <c r="J21" s="555">
        <f>+Scenario_Current_Demand!V107/1000</f>
        <v>37.229999999999997</v>
      </c>
      <c r="K21" s="555">
        <f>+Scenario_Current_Demand!W107/1000</f>
        <v>37.229999999999997</v>
      </c>
      <c r="L21" s="555">
        <f>+Scenario_Current_Demand!X107/1000</f>
        <v>37.229999999999997</v>
      </c>
      <c r="M21" s="555">
        <f>+Scenario_Current_Demand!Y107/1000</f>
        <v>37.229999999999997</v>
      </c>
      <c r="N21" s="555">
        <f>+Scenario_Current_Demand!Z107/1000</f>
        <v>37.229999999999997</v>
      </c>
      <c r="O21" s="556">
        <f>+Scenario_Current_Demand!AA107/1000</f>
        <v>37.229999999999997</v>
      </c>
      <c r="P21" s="537"/>
      <c r="Q21" s="537"/>
    </row>
    <row r="22" spans="1:17" ht="15" thickBot="1" x14ac:dyDescent="0.35">
      <c r="A22" s="557" t="str">
        <f t="shared" si="2"/>
        <v>Biomass</v>
      </c>
      <c r="B22" s="558"/>
      <c r="C22" s="547">
        <f>+Scenario_Current_Demand!O262/1000</f>
        <v>61.776900333333337</v>
      </c>
      <c r="D22" s="547">
        <f>+Scenario_Current_Demand!P262/1000</f>
        <v>61.776900333333337</v>
      </c>
      <c r="E22" s="547">
        <f>+Scenario_Current_Demand!Q262/1000</f>
        <v>61.776900333333337</v>
      </c>
      <c r="F22" s="547">
        <f>+Scenario_Current_Demand!R262/1000</f>
        <v>61.776900333333337</v>
      </c>
      <c r="G22" s="547">
        <f>+Scenario_Current_Demand!S262/1000</f>
        <v>61.776900333333337</v>
      </c>
      <c r="H22" s="547">
        <f>+Scenario_Current_Demand!T262/1000</f>
        <v>61.776900333333337</v>
      </c>
      <c r="I22" s="547">
        <f>+Scenario_Current_Demand!U262/1000</f>
        <v>61.776900333333337</v>
      </c>
      <c r="J22" s="547">
        <f>+Scenario_Current_Demand!V262/1000</f>
        <v>61.776900333333337</v>
      </c>
      <c r="K22" s="547">
        <f>+Scenario_Current_Demand!W262/1000</f>
        <v>61.776900333333337</v>
      </c>
      <c r="L22" s="547">
        <f>+Scenario_Current_Demand!X262/1000</f>
        <v>61.776900333333337</v>
      </c>
      <c r="M22" s="547">
        <f>+Scenario_Current_Demand!Y262/1000</f>
        <v>61.776900333333337</v>
      </c>
      <c r="N22" s="547">
        <f>+Scenario_Current_Demand!Z262/1000</f>
        <v>61.776900333333337</v>
      </c>
      <c r="O22" s="548">
        <f>+Scenario_Current_Demand!AA262/1000</f>
        <v>61.776900333333337</v>
      </c>
      <c r="P22" s="537"/>
      <c r="Q22" s="537"/>
    </row>
    <row r="23" spans="1:17" x14ac:dyDescent="0.3">
      <c r="A23" s="539"/>
      <c r="B23" s="539"/>
      <c r="C23" s="537"/>
      <c r="D23" s="537"/>
      <c r="E23" s="537"/>
      <c r="F23" s="537"/>
      <c r="G23" s="537"/>
      <c r="H23" s="537"/>
      <c r="I23" s="537"/>
      <c r="J23" s="537"/>
      <c r="K23" s="537"/>
      <c r="L23" s="537"/>
      <c r="M23" s="537"/>
      <c r="N23" s="537"/>
      <c r="O23" s="537"/>
    </row>
    <row r="24" spans="1:17" ht="15" thickBot="1" x14ac:dyDescent="0.35">
      <c r="A24" s="570" t="s">
        <v>482</v>
      </c>
      <c r="C24" s="538"/>
      <c r="D24" s="541"/>
      <c r="E24" s="541"/>
      <c r="F24" s="541"/>
      <c r="G24" s="541"/>
      <c r="H24" s="541"/>
      <c r="I24" s="541"/>
      <c r="J24" s="541"/>
      <c r="K24" s="541"/>
      <c r="L24" s="541"/>
      <c r="M24" s="541"/>
      <c r="N24" s="541"/>
      <c r="O24" s="541"/>
    </row>
    <row r="25" spans="1:17" ht="15" thickBot="1" x14ac:dyDescent="0.35">
      <c r="A25" s="567" t="s">
        <v>544</v>
      </c>
      <c r="B25" s="568">
        <f>NPV(10%,C26:O26)/NPV(10%,C27:O27)</f>
        <v>54.698231789751127</v>
      </c>
      <c r="C25" s="569" t="s">
        <v>541</v>
      </c>
      <c r="D25" s="541"/>
      <c r="E25" s="541"/>
      <c r="F25" s="541"/>
      <c r="G25" s="541"/>
      <c r="H25" s="541"/>
      <c r="I25" s="541"/>
      <c r="J25" s="541"/>
      <c r="K25" s="541"/>
      <c r="L25" s="541"/>
      <c r="M25" s="541"/>
      <c r="N25" s="541"/>
      <c r="O25" s="541"/>
    </row>
    <row r="26" spans="1:17" ht="15" thickBot="1" x14ac:dyDescent="0.35">
      <c r="A26" s="563" t="str">
        <f>+A14</f>
        <v>Production Cost Energy</v>
      </c>
      <c r="B26" s="564" t="s">
        <v>545</v>
      </c>
      <c r="C26" s="565">
        <f t="shared" ref="C26:O26" si="3">SUMPRODUCT($D$3:$D$9,C28:C34)</f>
        <v>431410.00429562916</v>
      </c>
      <c r="D26" s="565">
        <f t="shared" si="3"/>
        <v>596200.27387621067</v>
      </c>
      <c r="E26" s="565">
        <f t="shared" si="3"/>
        <v>1093214.0634402663</v>
      </c>
      <c r="F26" s="565">
        <f t="shared" si="3"/>
        <v>1237875.0783195226</v>
      </c>
      <c r="G26" s="565">
        <f t="shared" si="3"/>
        <v>1237875.0783195226</v>
      </c>
      <c r="H26" s="565">
        <f t="shared" si="3"/>
        <v>1298452.4648584712</v>
      </c>
      <c r="I26" s="565">
        <f t="shared" si="3"/>
        <v>1298452.4648584712</v>
      </c>
      <c r="J26" s="565">
        <f t="shared" si="3"/>
        <v>1679802.1687776372</v>
      </c>
      <c r="K26" s="565">
        <f t="shared" si="3"/>
        <v>1679802.1687776372</v>
      </c>
      <c r="L26" s="565">
        <f t="shared" si="3"/>
        <v>1679802.1687776372</v>
      </c>
      <c r="M26" s="565">
        <f t="shared" si="3"/>
        <v>1679802.1687776372</v>
      </c>
      <c r="N26" s="565">
        <f t="shared" si="3"/>
        <v>3056192.3855330669</v>
      </c>
      <c r="O26" s="566">
        <f t="shared" si="3"/>
        <v>3607698.8169046799</v>
      </c>
    </row>
    <row r="27" spans="1:17" ht="15" thickBot="1" x14ac:dyDescent="0.35">
      <c r="A27" s="559" t="str">
        <f>+A15</f>
        <v>Generation (GWh)</v>
      </c>
      <c r="B27" s="560"/>
      <c r="C27" s="561">
        <f>SUM(C28:C34)</f>
        <v>9549.8554570679426</v>
      </c>
      <c r="D27" s="561">
        <f t="shared" ref="D27:N27" si="4">SUM(D28:D34)</f>
        <v>12726.694191623497</v>
      </c>
      <c r="E27" s="561">
        <f t="shared" si="4"/>
        <v>20759.867119263519</v>
      </c>
      <c r="F27" s="561">
        <f t="shared" si="4"/>
        <v>23042.112006337687</v>
      </c>
      <c r="G27" s="561">
        <f t="shared" si="4"/>
        <v>23042.112006337687</v>
      </c>
      <c r="H27" s="561">
        <f t="shared" si="4"/>
        <v>23786.71200633769</v>
      </c>
      <c r="I27" s="561">
        <f t="shared" si="4"/>
        <v>23786.71200633769</v>
      </c>
      <c r="J27" s="561">
        <f t="shared" si="4"/>
        <v>29883.672006337689</v>
      </c>
      <c r="K27" s="561">
        <f t="shared" si="4"/>
        <v>29883.672006337689</v>
      </c>
      <c r="L27" s="561">
        <f t="shared" si="4"/>
        <v>29883.672006337689</v>
      </c>
      <c r="M27" s="561">
        <f t="shared" si="4"/>
        <v>29883.672006337689</v>
      </c>
      <c r="N27" s="561">
        <f t="shared" si="4"/>
        <v>51889.185606337691</v>
      </c>
      <c r="O27" s="562">
        <f>SUM(O28:O34)</f>
        <v>60514.281606337689</v>
      </c>
      <c r="P27" s="537"/>
      <c r="Q27" s="537"/>
    </row>
    <row r="28" spans="1:17" x14ac:dyDescent="0.3">
      <c r="A28" s="549" t="str">
        <f>+A16</f>
        <v>Simple Cycle</v>
      </c>
      <c r="B28" s="550"/>
      <c r="C28" s="551">
        <f>(Scenario_NDC!O190-(Scenario_NDC!O227+Scenario_NDC!O228+Scenario_NDC!O230))/1000</f>
        <v>5260.2593637617956</v>
      </c>
      <c r="D28" s="551">
        <f>(Scenario_NDC!P190-(Scenario_NDC!P227+Scenario_NDC!P228+Scenario_NDC!P230))/1000</f>
        <v>5425.7115619840188</v>
      </c>
      <c r="E28" s="551">
        <f>(Scenario_NDC!Q190-(Scenario_NDC!Q227+Scenario_NDC!Q228+Scenario_NDC!Q230))/1000</f>
        <v>3031.4009696240405</v>
      </c>
      <c r="F28" s="551">
        <f>(Scenario_NDC!R190-(Scenario_NDC!R227+Scenario_NDC!R228+Scenario_NDC!R230))/1000</f>
        <v>3011.0798566982075</v>
      </c>
      <c r="G28" s="551">
        <f>(Scenario_NDC!S190-(Scenario_NDC!S227+Scenario_NDC!S228+Scenario_NDC!S230))/1000</f>
        <v>3011.0798566982075</v>
      </c>
      <c r="H28" s="551">
        <f>(Scenario_NDC!T190-(Scenario_NDC!T227+Scenario_NDC!T228+Scenario_NDC!T230))/1000</f>
        <v>3011.0798566982075</v>
      </c>
      <c r="I28" s="551">
        <f>(Scenario_NDC!U190-(Scenario_NDC!U227+Scenario_NDC!U228+Scenario_NDC!U230))/1000</f>
        <v>3011.0798566982075</v>
      </c>
      <c r="J28" s="551">
        <f>(Scenario_NDC!V190-(Scenario_NDC!V227+Scenario_NDC!V228+Scenario_NDC!V230))/1000</f>
        <v>3011.0798566982075</v>
      </c>
      <c r="K28" s="551">
        <f>(Scenario_NDC!W190-(Scenario_NDC!W227+Scenario_NDC!W228+Scenario_NDC!W230))/1000</f>
        <v>3011.0798566982075</v>
      </c>
      <c r="L28" s="551">
        <f>(Scenario_NDC!X190-(Scenario_NDC!X227+Scenario_NDC!X228+Scenario_NDC!X230))/1000</f>
        <v>3011.0798566982075</v>
      </c>
      <c r="M28" s="551">
        <f>(Scenario_NDC!Y190-(Scenario_NDC!Y227+Scenario_NDC!Y228+Scenario_NDC!Y230))/1000</f>
        <v>3011.0798566982075</v>
      </c>
      <c r="N28" s="551">
        <f>(Scenario_NDC!Z190-(Scenario_NDC!Z227+Scenario_NDC!Z228+Scenario_NDC!Z230))/1000</f>
        <v>3011.0798566982075</v>
      </c>
      <c r="O28" s="552">
        <f>(Scenario_NDC!AA190-(Scenario_NDC!AA227+Scenario_NDC!AA228+Scenario_NDC!AA230))/1000</f>
        <v>3011.0798566982075</v>
      </c>
      <c r="P28" s="537"/>
      <c r="Q28" s="537"/>
    </row>
    <row r="29" spans="1:17" x14ac:dyDescent="0.3">
      <c r="A29" s="553" t="str">
        <f t="shared" ref="A29:A34" si="5">+A17</f>
        <v>Combined cycle</v>
      </c>
      <c r="B29" s="554"/>
      <c r="C29" s="555">
        <f>(+Scenario_NDC!O54+(Scenario_NDC!O227+Scenario_NDC!O228+Scenario_NDC!O230))/1000</f>
        <v>1112.9516346473881</v>
      </c>
      <c r="D29" s="555">
        <f>(+Scenario_NDC!P54+(Scenario_NDC!P227+Scenario_NDC!P228+Scenario_NDC!P230))/1000</f>
        <v>3622.1660346473877</v>
      </c>
      <c r="E29" s="555">
        <f>(+Scenario_NDC!Q54+(Scenario_NDC!Q227+Scenario_NDC!Q228+Scenario_NDC!Q230))/1000</f>
        <v>10903.057554647388</v>
      </c>
      <c r="F29" s="555">
        <f>(+Scenario_NDC!R54+(Scenario_NDC!R227+Scenario_NDC!R228+Scenario_NDC!R230))/1000</f>
        <v>10903.057554647388</v>
      </c>
      <c r="G29" s="555">
        <f>(+Scenario_NDC!S54+(Scenario_NDC!S227+Scenario_NDC!S228+Scenario_NDC!S230))/1000</f>
        <v>10903.057554647388</v>
      </c>
      <c r="H29" s="555">
        <f>(+Scenario_NDC!T54+(Scenario_NDC!T227+Scenario_NDC!T228+Scenario_NDC!T230))/1000</f>
        <v>10903.057554647388</v>
      </c>
      <c r="I29" s="555">
        <f>(+Scenario_NDC!U54+(Scenario_NDC!U227+Scenario_NDC!U228+Scenario_NDC!U230))/1000</f>
        <v>10903.057554647388</v>
      </c>
      <c r="J29" s="555">
        <f>(+Scenario_NDC!V54+(Scenario_NDC!V227+Scenario_NDC!V228+Scenario_NDC!V230))/1000</f>
        <v>10903.057554647388</v>
      </c>
      <c r="K29" s="555">
        <f>(+Scenario_NDC!W54+(Scenario_NDC!W227+Scenario_NDC!W228+Scenario_NDC!W230))/1000</f>
        <v>10903.057554647388</v>
      </c>
      <c r="L29" s="555">
        <f>(+Scenario_NDC!X54+(Scenario_NDC!X227+Scenario_NDC!X228+Scenario_NDC!X230))/1000</f>
        <v>10903.057554647388</v>
      </c>
      <c r="M29" s="555">
        <f>(+Scenario_NDC!Y54+(Scenario_NDC!Y227+Scenario_NDC!Y228+Scenario_NDC!Y230))/1000</f>
        <v>10903.057554647388</v>
      </c>
      <c r="N29" s="555">
        <f>(+Scenario_NDC!Z54+(Scenario_NDC!Z227+Scenario_NDC!Z228+Scenario_NDC!Z230))/1000</f>
        <v>10903.057554647388</v>
      </c>
      <c r="O29" s="556">
        <f>(+Scenario_NDC!AA54+(Scenario_NDC!AA227+Scenario_NDC!AA228+Scenario_NDC!AA230))/1000</f>
        <v>10903.057554647388</v>
      </c>
      <c r="P29" s="537"/>
      <c r="Q29" s="537"/>
    </row>
    <row r="30" spans="1:17" x14ac:dyDescent="0.3">
      <c r="A30" s="553" t="str">
        <f t="shared" si="5"/>
        <v>Hydroelectric</v>
      </c>
      <c r="B30" s="554"/>
      <c r="C30" s="555">
        <f>(+Scenario_NDC!O262+Scenario_NDC!O82)/1000</f>
        <v>2892.1389793254239</v>
      </c>
      <c r="D30" s="555">
        <f>(+Scenario_NDC!P262+Scenario_NDC!P82)/1000</f>
        <v>3184.0711156587572</v>
      </c>
      <c r="E30" s="555">
        <f>(+Scenario_NDC!Q262+Scenario_NDC!Q82)/1000</f>
        <v>5579.4931156587572</v>
      </c>
      <c r="F30" s="555">
        <f>(+Scenario_NDC!R262+Scenario_NDC!R82)/1000</f>
        <v>7744.0891156587577</v>
      </c>
      <c r="G30" s="555">
        <f>(+Scenario_NDC!S262+Scenario_NDC!S82)/1000</f>
        <v>7744.0891156587577</v>
      </c>
      <c r="H30" s="555">
        <f>(+Scenario_NDC!T262+Scenario_NDC!T82)/1000</f>
        <v>7744.0891156587577</v>
      </c>
      <c r="I30" s="555">
        <f>(+Scenario_NDC!U262+Scenario_NDC!U82)/1000</f>
        <v>7744.0891156587577</v>
      </c>
      <c r="J30" s="555">
        <f>(+Scenario_NDC!V262+Scenario_NDC!V82)/1000</f>
        <v>13841.049115658756</v>
      </c>
      <c r="K30" s="555">
        <f>(+Scenario_NDC!W262+Scenario_NDC!W82)/1000</f>
        <v>13841.049115658756</v>
      </c>
      <c r="L30" s="555">
        <f>(+Scenario_NDC!X262+Scenario_NDC!X82)/1000</f>
        <v>13841.049115658756</v>
      </c>
      <c r="M30" s="555">
        <f>(+Scenario_NDC!Y262+Scenario_NDC!Y82)/1000</f>
        <v>13841.049115658756</v>
      </c>
      <c r="N30" s="555">
        <f>(+Scenario_NDC!Z262+Scenario_NDC!Z82)/1000</f>
        <v>35846.562715658758</v>
      </c>
      <c r="O30" s="556">
        <f>(+Scenario_NDC!AA262+Scenario_NDC!AA82)/1000</f>
        <v>43204.962715658759</v>
      </c>
      <c r="P30" s="537"/>
      <c r="Q30" s="537"/>
    </row>
    <row r="31" spans="1:17" x14ac:dyDescent="0.3">
      <c r="A31" s="553" t="str">
        <f t="shared" si="5"/>
        <v>Wind</v>
      </c>
      <c r="B31" s="554"/>
      <c r="C31" s="555">
        <f>(+Scenario_NDC!O132+Scenario_NDC!O344)/1000</f>
        <v>86.072579000000005</v>
      </c>
      <c r="D31" s="555">
        <f>(+Scenario_NDC!P132+Scenario_NDC!P344)/1000</f>
        <v>86.072579000000005</v>
      </c>
      <c r="E31" s="555">
        <f>(+Scenario_NDC!Q132+Scenario_NDC!Q344)/1000</f>
        <v>417.200579</v>
      </c>
      <c r="F31" s="555">
        <f>(+Scenario_NDC!R132+Scenario_NDC!R344)/1000</f>
        <v>555.17057899999998</v>
      </c>
      <c r="G31" s="555">
        <f>(+Scenario_NDC!S132+Scenario_NDC!S344)/1000</f>
        <v>555.17057899999998</v>
      </c>
      <c r="H31" s="555">
        <f>(+Scenario_NDC!T132+Scenario_NDC!T344)/1000</f>
        <v>555.17057899999998</v>
      </c>
      <c r="I31" s="555">
        <f>(+Scenario_NDC!U132+Scenario_NDC!U344)/1000</f>
        <v>555.17057899999998</v>
      </c>
      <c r="J31" s="555">
        <f>(+Scenario_NDC!V132+Scenario_NDC!V344)/1000</f>
        <v>555.17057899999998</v>
      </c>
      <c r="K31" s="555">
        <f>(+Scenario_NDC!W132+Scenario_NDC!W344)/1000</f>
        <v>555.17057899999998</v>
      </c>
      <c r="L31" s="555">
        <f>(+Scenario_NDC!X132+Scenario_NDC!X344)/1000</f>
        <v>555.17057899999998</v>
      </c>
      <c r="M31" s="555">
        <f>(+Scenario_NDC!Y132+Scenario_NDC!Y344)/1000</f>
        <v>555.17057899999998</v>
      </c>
      <c r="N31" s="555">
        <f>(+Scenario_NDC!Z132+Scenario_NDC!Z344)/1000</f>
        <v>555.17057899999998</v>
      </c>
      <c r="O31" s="556">
        <f>(+Scenario_NDC!AA132+Scenario_NDC!AA344)/1000</f>
        <v>1401.386579</v>
      </c>
      <c r="P31" s="537"/>
      <c r="Q31" s="537"/>
    </row>
    <row r="32" spans="1:17" x14ac:dyDescent="0.3">
      <c r="A32" s="553" t="str">
        <f t="shared" si="5"/>
        <v>Solar</v>
      </c>
      <c r="B32" s="554"/>
      <c r="C32" s="555">
        <f>+Scenario_NDC!O151/1000</f>
        <v>136.65600000000001</v>
      </c>
      <c r="D32" s="555">
        <f>+Scenario_NDC!P151/1000</f>
        <v>346.89600000000002</v>
      </c>
      <c r="E32" s="555">
        <f>+Scenario_NDC!Q151/1000</f>
        <v>357.40800000000002</v>
      </c>
      <c r="F32" s="555">
        <f>+Scenario_NDC!R151/1000</f>
        <v>357.40800000000002</v>
      </c>
      <c r="G32" s="555">
        <f>+Scenario_NDC!S151/1000</f>
        <v>357.40800000000002</v>
      </c>
      <c r="H32" s="555">
        <f>+Scenario_NDC!T151/1000</f>
        <v>357.40800000000002</v>
      </c>
      <c r="I32" s="555">
        <f>+Scenario_NDC!U151/1000</f>
        <v>357.40800000000002</v>
      </c>
      <c r="J32" s="555">
        <f>+Scenario_NDC!V151/1000</f>
        <v>357.40800000000002</v>
      </c>
      <c r="K32" s="555">
        <f>+Scenario_NDC!W151/1000</f>
        <v>357.40800000000002</v>
      </c>
      <c r="L32" s="555">
        <f>+Scenario_NDC!X151/1000</f>
        <v>357.40800000000002</v>
      </c>
      <c r="M32" s="555">
        <f>+Scenario_NDC!Y151/1000</f>
        <v>357.40800000000002</v>
      </c>
      <c r="N32" s="555">
        <f>+Scenario_NDC!Z151/1000</f>
        <v>357.40800000000002</v>
      </c>
      <c r="O32" s="556">
        <f>+Scenario_NDC!AA151/1000</f>
        <v>777.88800000000003</v>
      </c>
      <c r="P32" s="537"/>
      <c r="Q32" s="537"/>
    </row>
    <row r="33" spans="1:17" x14ac:dyDescent="0.3">
      <c r="A33" s="553" t="str">
        <f t="shared" si="5"/>
        <v>Geothermal</v>
      </c>
      <c r="B33" s="554"/>
      <c r="C33" s="555">
        <f>+Scenario_NDC!O169/1000</f>
        <v>0</v>
      </c>
      <c r="D33" s="555">
        <f>+Scenario_NDC!P169/1000</f>
        <v>0</v>
      </c>
      <c r="E33" s="555">
        <f>+Scenario_NDC!Q169/1000</f>
        <v>37.229999999999997</v>
      </c>
      <c r="F33" s="555">
        <f>+Scenario_NDC!R169/1000</f>
        <v>37.229999999999997</v>
      </c>
      <c r="G33" s="555">
        <f>+Scenario_NDC!S169/1000</f>
        <v>37.229999999999997</v>
      </c>
      <c r="H33" s="555">
        <f>+Scenario_NDC!T169/1000</f>
        <v>781.83</v>
      </c>
      <c r="I33" s="555">
        <f>+Scenario_NDC!U169/1000</f>
        <v>781.83</v>
      </c>
      <c r="J33" s="555">
        <f>+Scenario_NDC!V169/1000</f>
        <v>781.83</v>
      </c>
      <c r="K33" s="555">
        <f>+Scenario_NDC!W169/1000</f>
        <v>781.83</v>
      </c>
      <c r="L33" s="555">
        <f>+Scenario_NDC!X169/1000</f>
        <v>781.83</v>
      </c>
      <c r="M33" s="555">
        <f>+Scenario_NDC!Y169/1000</f>
        <v>781.83</v>
      </c>
      <c r="N33" s="555">
        <f>+Scenario_NDC!Z169/1000</f>
        <v>781.83</v>
      </c>
      <c r="O33" s="556">
        <f>+Scenario_NDC!AA169/1000</f>
        <v>781.83</v>
      </c>
      <c r="P33" s="537"/>
      <c r="Q33" s="537"/>
    </row>
    <row r="34" spans="1:17" ht="15" thickBot="1" x14ac:dyDescent="0.35">
      <c r="A34" s="557" t="str">
        <f t="shared" si="5"/>
        <v>Biomass</v>
      </c>
      <c r="B34" s="558"/>
      <c r="C34" s="547">
        <f>(+Scenario_NDC!O177+Scenario_NDC!O335)/1000</f>
        <v>61.776900333333337</v>
      </c>
      <c r="D34" s="547">
        <f>(+Scenario_NDC!P177+Scenario_NDC!P335)/1000</f>
        <v>61.776900333333337</v>
      </c>
      <c r="E34" s="547">
        <f>(+Scenario_NDC!Q177+Scenario_NDC!Q335)/1000</f>
        <v>434.07690033333336</v>
      </c>
      <c r="F34" s="547">
        <f>(+Scenario_NDC!R177+Scenario_NDC!R335)/1000</f>
        <v>434.07690033333336</v>
      </c>
      <c r="G34" s="547">
        <f>(+Scenario_NDC!S177+Scenario_NDC!S335)/1000</f>
        <v>434.07690033333336</v>
      </c>
      <c r="H34" s="547">
        <f>(+Scenario_NDC!T177+Scenario_NDC!T335)/1000</f>
        <v>434.07690033333336</v>
      </c>
      <c r="I34" s="547">
        <f>(+Scenario_NDC!U177+Scenario_NDC!U335)/1000</f>
        <v>434.07690033333336</v>
      </c>
      <c r="J34" s="547">
        <f>(+Scenario_NDC!V177+Scenario_NDC!V335)/1000</f>
        <v>434.07690033333336</v>
      </c>
      <c r="K34" s="547">
        <f>(+Scenario_NDC!W177+Scenario_NDC!W335)/1000</f>
        <v>434.07690033333336</v>
      </c>
      <c r="L34" s="547">
        <f>(+Scenario_NDC!X177+Scenario_NDC!X335)/1000</f>
        <v>434.07690033333336</v>
      </c>
      <c r="M34" s="547">
        <f>(+Scenario_NDC!Y177+Scenario_NDC!Y335)/1000</f>
        <v>434.07690033333336</v>
      </c>
      <c r="N34" s="547">
        <f>(+Scenario_NDC!Z177+Scenario_NDC!Z335)/1000</f>
        <v>434.07690033333336</v>
      </c>
      <c r="O34" s="548">
        <f>(+Scenario_NDC!AA177+Scenario_NDC!AA335)/1000</f>
        <v>434.07690033333336</v>
      </c>
      <c r="P34" s="537"/>
      <c r="Q34" s="537"/>
    </row>
    <row r="35" spans="1:17" x14ac:dyDescent="0.3">
      <c r="C35" s="537"/>
      <c r="D35" s="537"/>
      <c r="E35" s="537"/>
      <c r="F35" s="537"/>
      <c r="G35" s="537"/>
      <c r="H35" s="537"/>
      <c r="I35" s="537"/>
      <c r="J35" s="537"/>
      <c r="K35" s="537"/>
      <c r="L35" s="537"/>
      <c r="M35" s="537"/>
      <c r="N35" s="537"/>
      <c r="O35" s="537"/>
    </row>
    <row r="36" spans="1:17" ht="15" thickBot="1" x14ac:dyDescent="0.35">
      <c r="A36" s="570" t="s">
        <v>542</v>
      </c>
      <c r="C36" s="538"/>
      <c r="D36" s="541"/>
      <c r="E36" s="541"/>
      <c r="F36" s="541"/>
      <c r="G36" s="541"/>
      <c r="H36" s="541"/>
      <c r="I36" s="541"/>
      <c r="J36" s="541"/>
      <c r="K36" s="541"/>
      <c r="L36" s="541"/>
      <c r="M36" s="541"/>
      <c r="N36" s="541"/>
      <c r="O36" s="541"/>
    </row>
    <row r="37" spans="1:17" ht="15" thickBot="1" x14ac:dyDescent="0.35">
      <c r="A37" s="567" t="s">
        <v>544</v>
      </c>
      <c r="B37" s="568">
        <f>NPV(10%,C38:O38)/NPV(10%,C39:O39)</f>
        <v>56.344676072228282</v>
      </c>
      <c r="C37" s="569" t="s">
        <v>541</v>
      </c>
      <c r="D37" s="541"/>
      <c r="E37" s="541"/>
      <c r="F37" s="541"/>
      <c r="G37" s="541"/>
      <c r="H37" s="541"/>
      <c r="I37" s="541"/>
      <c r="J37" s="541"/>
      <c r="K37" s="541"/>
      <c r="L37" s="541"/>
      <c r="M37" s="541"/>
      <c r="N37" s="541"/>
      <c r="O37" s="541"/>
    </row>
    <row r="38" spans="1:17" ht="15" thickBot="1" x14ac:dyDescent="0.35">
      <c r="A38" s="563" t="s">
        <v>543</v>
      </c>
      <c r="B38" s="564" t="s">
        <v>545</v>
      </c>
      <c r="C38" s="565">
        <f t="shared" ref="C38:O38" si="6">SUMPRODUCT($D$3:$D$9,C40:C46)</f>
        <v>431410.00429562916</v>
      </c>
      <c r="D38" s="565">
        <f t="shared" si="6"/>
        <v>470261.96526075131</v>
      </c>
      <c r="E38" s="565">
        <f t="shared" si="6"/>
        <v>651927.68525129673</v>
      </c>
      <c r="F38" s="565">
        <f t="shared" si="6"/>
        <v>795630.39890776365</v>
      </c>
      <c r="G38" s="565">
        <f t="shared" si="6"/>
        <v>796697.77844280028</v>
      </c>
      <c r="H38" s="565">
        <f t="shared" si="6"/>
        <v>856883.01236598776</v>
      </c>
      <c r="I38" s="565">
        <f t="shared" si="6"/>
        <v>856788.65426481632</v>
      </c>
      <c r="J38" s="565">
        <f t="shared" si="6"/>
        <v>1146802.243331477</v>
      </c>
      <c r="K38" s="565">
        <f t="shared" si="6"/>
        <v>1146704.6140722889</v>
      </c>
      <c r="L38" s="565">
        <f t="shared" si="6"/>
        <v>1146705.1592652916</v>
      </c>
      <c r="M38" s="565">
        <f t="shared" si="6"/>
        <v>1146737.3388896857</v>
      </c>
      <c r="N38" s="565">
        <f t="shared" si="6"/>
        <v>2409852.4654583475</v>
      </c>
      <c r="O38" s="566">
        <f t="shared" si="6"/>
        <v>2961358.8968299609</v>
      </c>
    </row>
    <row r="39" spans="1:17" ht="15" thickBot="1" x14ac:dyDescent="0.35">
      <c r="A39" s="559" t="str">
        <f>+A27</f>
        <v>Generation (GWh)</v>
      </c>
      <c r="B39" s="560"/>
      <c r="C39" s="561">
        <f>SUM(C40:C46)</f>
        <v>9549.8554570679426</v>
      </c>
      <c r="D39" s="561">
        <f t="shared" ref="D39:O39" si="7">SUM(D40:D46)</f>
        <v>10217.479791623498</v>
      </c>
      <c r="E39" s="561">
        <f t="shared" si="7"/>
        <v>12491.293393663251</v>
      </c>
      <c r="F39" s="561">
        <f t="shared" si="7"/>
        <v>14744.424482910259</v>
      </c>
      <c r="G39" s="561">
        <f t="shared" si="7"/>
        <v>14776.85214891849</v>
      </c>
      <c r="H39" s="561">
        <f t="shared" si="7"/>
        <v>15509.538304188725</v>
      </c>
      <c r="I39" s="561">
        <f t="shared" si="7"/>
        <v>15506.671645339156</v>
      </c>
      <c r="J39" s="561">
        <f t="shared" si="7"/>
        <v>19215.526627007122</v>
      </c>
      <c r="K39" s="561">
        <f t="shared" si="7"/>
        <v>19212.560588306114</v>
      </c>
      <c r="L39" s="561">
        <f t="shared" si="7"/>
        <v>19212.577151614685</v>
      </c>
      <c r="M39" s="561">
        <f t="shared" si="7"/>
        <v>19213.554788975976</v>
      </c>
      <c r="N39" s="561">
        <f t="shared" si="7"/>
        <v>37975.048194992094</v>
      </c>
      <c r="O39" s="562">
        <f t="shared" si="7"/>
        <v>46600.144194992092</v>
      </c>
      <c r="P39" s="537"/>
      <c r="Q39" s="537"/>
    </row>
    <row r="40" spans="1:17" x14ac:dyDescent="0.3">
      <c r="A40" s="549" t="str">
        <f>+A28</f>
        <v>Simple Cycle</v>
      </c>
      <c r="B40" s="550"/>
      <c r="C40" s="551">
        <f>('Scenario_100%_RE'!O190-('Scenario_100%_RE'!O227+'Scenario_100%_RE'!O228+'Scenario_100%_RE'!O230))/1000</f>
        <v>5260.2593637617956</v>
      </c>
      <c r="D40" s="551">
        <f>('Scenario_100%_RE'!P190-('Scenario_100%_RE'!P227+'Scenario_100%_RE'!P228+'Scenario_100%_RE'!P230))/1000</f>
        <v>5425.7115619840188</v>
      </c>
      <c r="E40" s="551">
        <f>('Scenario_100%_RE'!Q190-('Scenario_100%_RE'!Q227+'Scenario_100%_RE'!Q228+'Scenario_100%_RE'!Q230))/1000</f>
        <v>4552.9331640237733</v>
      </c>
      <c r="F40" s="551">
        <f>('Scenario_100%_RE'!R190-('Scenario_100%_RE'!R227+'Scenario_100%_RE'!R228+'Scenario_100%_RE'!R230))/1000</f>
        <v>4503.49825327078</v>
      </c>
      <c r="G40" s="551">
        <f>('Scenario_100%_RE'!S190-('Scenario_100%_RE'!S227+'Scenario_100%_RE'!S228+'Scenario_100%_RE'!S230))/1000</f>
        <v>4535.9259192790114</v>
      </c>
      <c r="H40" s="551">
        <f>('Scenario_100%_RE'!T190-('Scenario_100%_RE'!T227+'Scenario_100%_RE'!T228+'Scenario_100%_RE'!T230))/1000</f>
        <v>4524.0120745492459</v>
      </c>
      <c r="I40" s="551">
        <f>('Scenario_100%_RE'!U190-('Scenario_100%_RE'!U227+'Scenario_100%_RE'!U228+'Scenario_100%_RE'!U230))/1000</f>
        <v>4521.1454156996788</v>
      </c>
      <c r="J40" s="551">
        <f>('Scenario_100%_RE'!V190-('Scenario_100%_RE'!V227+'Scenario_100%_RE'!V228+'Scenario_100%_RE'!V230))/1000</f>
        <v>2869.9564973676434</v>
      </c>
      <c r="K40" s="551">
        <f>('Scenario_100%_RE'!W190-('Scenario_100%_RE'!W227+'Scenario_100%_RE'!W228+'Scenario_100%_RE'!W230))/1000</f>
        <v>2866.9904586666325</v>
      </c>
      <c r="L40" s="551">
        <f>('Scenario_100%_RE'!X190-('Scenario_100%_RE'!X227+'Scenario_100%_RE'!X228+'Scenario_100%_RE'!X230))/1000</f>
        <v>2867.0070219752065</v>
      </c>
      <c r="M40" s="551">
        <f>('Scenario_100%_RE'!Y190-('Scenario_100%_RE'!Y227+'Scenario_100%_RE'!Y228+'Scenario_100%_RE'!Y230))/1000</f>
        <v>2867.9846593364941</v>
      </c>
      <c r="N40" s="551">
        <f>('Scenario_100%_RE'!Z190-('Scenario_100%_RE'!Z227+'Scenario_100%_RE'!Z228+'Scenario_100%_RE'!Z230))/1000</f>
        <v>0</v>
      </c>
      <c r="O40" s="552">
        <f>('Scenario_100%_RE'!AA190-('Scenario_100%_RE'!AA227+'Scenario_100%_RE'!AA228+'Scenario_100%_RE'!AA230))/1000</f>
        <v>0</v>
      </c>
      <c r="P40" s="537"/>
      <c r="Q40" s="537"/>
    </row>
    <row r="41" spans="1:17" x14ac:dyDescent="0.3">
      <c r="A41" s="553" t="str">
        <f t="shared" ref="A41:A46" si="8">+A29</f>
        <v>Combined cycle</v>
      </c>
      <c r="B41" s="554"/>
      <c r="C41" s="555">
        <f>(+'Scenario_100%_RE'!O54+('Scenario_100%_RE'!O227+'Scenario_100%_RE'!O228+'Scenario_100%_RE'!O230))/1000</f>
        <v>1112.9516346473881</v>
      </c>
      <c r="D41" s="555">
        <f>(+'Scenario_100%_RE'!P54+('Scenario_100%_RE'!P227+'Scenario_100%_RE'!P228+'Scenario_100%_RE'!P230))/1000</f>
        <v>1112.9516346473881</v>
      </c>
      <c r="E41" s="555">
        <f>(+'Scenario_100%_RE'!Q54+('Scenario_100%_RE'!Q227+'Scenario_100%_RE'!Q228+'Scenario_100%_RE'!Q230))/1000</f>
        <v>1112.9516346473881</v>
      </c>
      <c r="F41" s="555">
        <f>(+'Scenario_100%_RE'!R54+('Scenario_100%_RE'!R227+'Scenario_100%_RE'!R228+'Scenario_100%_RE'!R230))/1000</f>
        <v>1112.9516346473881</v>
      </c>
      <c r="G41" s="555">
        <f>(+'Scenario_100%_RE'!S54+('Scenario_100%_RE'!S227+'Scenario_100%_RE'!S228+'Scenario_100%_RE'!S230))/1000</f>
        <v>1112.9516346473881</v>
      </c>
      <c r="H41" s="555">
        <f>(+'Scenario_100%_RE'!T54+('Scenario_100%_RE'!T227+'Scenario_100%_RE'!T228+'Scenario_100%_RE'!T230))/1000</f>
        <v>1112.9516346473881</v>
      </c>
      <c r="I41" s="555">
        <f>(+'Scenario_100%_RE'!U54+('Scenario_100%_RE'!U227+'Scenario_100%_RE'!U228+'Scenario_100%_RE'!U230))/1000</f>
        <v>1112.9516346473881</v>
      </c>
      <c r="J41" s="555">
        <f>(+'Scenario_100%_RE'!V54+('Scenario_100%_RE'!V227+'Scenario_100%_RE'!V228+'Scenario_100%_RE'!V230))/1000</f>
        <v>376.0355346473882</v>
      </c>
      <c r="K41" s="555">
        <f>(+'Scenario_100%_RE'!W54+('Scenario_100%_RE'!W227+'Scenario_100%_RE'!W228+'Scenario_100%_RE'!W230))/1000</f>
        <v>376.0355346473882</v>
      </c>
      <c r="L41" s="555">
        <f>(+'Scenario_100%_RE'!X54+('Scenario_100%_RE'!X227+'Scenario_100%_RE'!X228+'Scenario_100%_RE'!X230))/1000</f>
        <v>376.0355346473882</v>
      </c>
      <c r="M41" s="555">
        <f>(+'Scenario_100%_RE'!Y54+('Scenario_100%_RE'!Y227+'Scenario_100%_RE'!Y228+'Scenario_100%_RE'!Y230))/1000</f>
        <v>376.0355346473882</v>
      </c>
      <c r="N41" s="555">
        <f>(+'Scenario_100%_RE'!Z54+('Scenario_100%_RE'!Z227+'Scenario_100%_RE'!Z228+'Scenario_100%_RE'!Z230))/1000</f>
        <v>0</v>
      </c>
      <c r="O41" s="556">
        <f>(+'Scenario_100%_RE'!AA54+('Scenario_100%_RE'!AA227+'Scenario_100%_RE'!AA228+'Scenario_100%_RE'!AA230))/1000</f>
        <v>0</v>
      </c>
      <c r="P41" s="537"/>
      <c r="Q41" s="537"/>
    </row>
    <row r="42" spans="1:17" x14ac:dyDescent="0.3">
      <c r="A42" s="553" t="str">
        <f t="shared" si="8"/>
        <v>Hydroelectric</v>
      </c>
      <c r="B42" s="554"/>
      <c r="C42" s="555">
        <f>(+'Scenario_100%_RE'!O262+'Scenario_100%_RE'!O82)/1000</f>
        <v>2892.1389793254239</v>
      </c>
      <c r="D42" s="555">
        <f>(+'Scenario_100%_RE'!P262+'Scenario_100%_RE'!P82)/1000</f>
        <v>3184.0711156587572</v>
      </c>
      <c r="E42" s="555">
        <f>(+'Scenario_100%_RE'!Q262+'Scenario_100%_RE'!Q82)/1000</f>
        <v>5579.4931156587572</v>
      </c>
      <c r="F42" s="555">
        <f>(+'Scenario_100%_RE'!R262+'Scenario_100%_RE'!R82)/1000</f>
        <v>7744.0891156587577</v>
      </c>
      <c r="G42" s="555">
        <f>(+'Scenario_100%_RE'!S262+'Scenario_100%_RE'!S82)/1000</f>
        <v>7744.0891156587577</v>
      </c>
      <c r="H42" s="555">
        <f>(+'Scenario_100%_RE'!T262+'Scenario_100%_RE'!T82)/1000</f>
        <v>7744.0891156587577</v>
      </c>
      <c r="I42" s="555">
        <f>(+'Scenario_100%_RE'!U262+'Scenario_100%_RE'!U82)/1000</f>
        <v>7744.0891156587577</v>
      </c>
      <c r="J42" s="555">
        <f>(+'Scenario_100%_RE'!V262+'Scenario_100%_RE'!V82)/1000</f>
        <v>13841.049115658756</v>
      </c>
      <c r="K42" s="555">
        <f>(+'Scenario_100%_RE'!W262+'Scenario_100%_RE'!W82)/1000</f>
        <v>13841.049115658756</v>
      </c>
      <c r="L42" s="555">
        <f>(+'Scenario_100%_RE'!X262+'Scenario_100%_RE'!X82)/1000</f>
        <v>13841.049115658756</v>
      </c>
      <c r="M42" s="555">
        <f>(+'Scenario_100%_RE'!Y262+'Scenario_100%_RE'!Y82)/1000</f>
        <v>13841.049115658756</v>
      </c>
      <c r="N42" s="555">
        <f>(+'Scenario_100%_RE'!Z262+'Scenario_100%_RE'!Z82)/1000</f>
        <v>35846.562715658758</v>
      </c>
      <c r="O42" s="556">
        <f>(+'Scenario_100%_RE'!AA262+'Scenario_100%_RE'!AA82)/1000</f>
        <v>43204.962715658759</v>
      </c>
      <c r="P42" s="537"/>
      <c r="Q42" s="537"/>
    </row>
    <row r="43" spans="1:17" x14ac:dyDescent="0.3">
      <c r="A43" s="553" t="str">
        <f t="shared" si="8"/>
        <v>Wind</v>
      </c>
      <c r="B43" s="554"/>
      <c r="C43" s="555">
        <f>(+'Scenario_100%_RE'!O132+'Scenario_100%_RE'!O344)/1000</f>
        <v>86.072579000000005</v>
      </c>
      <c r="D43" s="555">
        <f>(+'Scenario_100%_RE'!P132+'Scenario_100%_RE'!P344)/1000</f>
        <v>86.072579000000005</v>
      </c>
      <c r="E43" s="555">
        <f>(+'Scenario_100%_RE'!Q132+'Scenario_100%_RE'!Q344)/1000</f>
        <v>417.200579</v>
      </c>
      <c r="F43" s="555">
        <f>(+'Scenario_100%_RE'!R132+'Scenario_100%_RE'!R344)/1000</f>
        <v>555.17057899999998</v>
      </c>
      <c r="G43" s="555">
        <f>(+'Scenario_100%_RE'!S132+'Scenario_100%_RE'!S344)/1000</f>
        <v>555.17057899999998</v>
      </c>
      <c r="H43" s="555">
        <f>(+'Scenario_100%_RE'!T132+'Scenario_100%_RE'!T344)/1000</f>
        <v>555.17057899999998</v>
      </c>
      <c r="I43" s="555">
        <f>(+'Scenario_100%_RE'!U132+'Scenario_100%_RE'!U344)/1000</f>
        <v>555.17057899999998</v>
      </c>
      <c r="J43" s="555">
        <f>(+'Scenario_100%_RE'!V132+'Scenario_100%_RE'!V344)/1000</f>
        <v>555.17057899999998</v>
      </c>
      <c r="K43" s="555">
        <f>(+'Scenario_100%_RE'!W132+'Scenario_100%_RE'!W344)/1000</f>
        <v>555.17057899999998</v>
      </c>
      <c r="L43" s="555">
        <f>(+'Scenario_100%_RE'!X132+'Scenario_100%_RE'!X344)/1000</f>
        <v>555.17057899999998</v>
      </c>
      <c r="M43" s="555">
        <f>(+'Scenario_100%_RE'!Y132+'Scenario_100%_RE'!Y344)/1000</f>
        <v>555.17057899999998</v>
      </c>
      <c r="N43" s="555">
        <f>(+'Scenario_100%_RE'!Z132+'Scenario_100%_RE'!Z344)/1000</f>
        <v>555.17057899999998</v>
      </c>
      <c r="O43" s="556">
        <f>(+'Scenario_100%_RE'!AA132+'Scenario_100%_RE'!AA344)/1000</f>
        <v>1401.386579</v>
      </c>
      <c r="P43" s="537"/>
      <c r="Q43" s="537"/>
    </row>
    <row r="44" spans="1:17" x14ac:dyDescent="0.3">
      <c r="A44" s="553" t="str">
        <f t="shared" si="8"/>
        <v>Solar</v>
      </c>
      <c r="B44" s="554"/>
      <c r="C44" s="555">
        <f>+'Scenario_100%_RE'!O151/1000</f>
        <v>136.65600000000001</v>
      </c>
      <c r="D44" s="555">
        <f>+'Scenario_100%_RE'!P151/1000</f>
        <v>346.89600000000002</v>
      </c>
      <c r="E44" s="555">
        <f>+'Scenario_100%_RE'!Q151/1000</f>
        <v>357.40800000000002</v>
      </c>
      <c r="F44" s="555">
        <f>+'Scenario_100%_RE'!R151/1000</f>
        <v>357.40800000000002</v>
      </c>
      <c r="G44" s="555">
        <f>+'Scenario_100%_RE'!S151/1000</f>
        <v>357.40800000000002</v>
      </c>
      <c r="H44" s="555">
        <f>+'Scenario_100%_RE'!T151/1000</f>
        <v>357.40800000000002</v>
      </c>
      <c r="I44" s="555">
        <f>+'Scenario_100%_RE'!U151/1000</f>
        <v>357.40800000000002</v>
      </c>
      <c r="J44" s="555">
        <f>+'Scenario_100%_RE'!V151/1000</f>
        <v>357.40800000000002</v>
      </c>
      <c r="K44" s="555">
        <f>+'Scenario_100%_RE'!W151/1000</f>
        <v>357.40800000000002</v>
      </c>
      <c r="L44" s="555">
        <f>+'Scenario_100%_RE'!X151/1000</f>
        <v>357.40800000000002</v>
      </c>
      <c r="M44" s="555">
        <f>+'Scenario_100%_RE'!Y151/1000</f>
        <v>357.40800000000002</v>
      </c>
      <c r="N44" s="555">
        <f>+'Scenario_100%_RE'!Z151/1000</f>
        <v>357.40800000000002</v>
      </c>
      <c r="O44" s="556">
        <f>+'Scenario_100%_RE'!AA151/1000</f>
        <v>777.88800000000003</v>
      </c>
      <c r="P44" s="537"/>
      <c r="Q44" s="537"/>
    </row>
    <row r="45" spans="1:17" x14ac:dyDescent="0.3">
      <c r="A45" s="553" t="str">
        <f t="shared" si="8"/>
        <v>Geothermal</v>
      </c>
      <c r="B45" s="554"/>
      <c r="C45" s="555">
        <f>+'Scenario_100%_RE'!O169/1000</f>
        <v>0</v>
      </c>
      <c r="D45" s="555">
        <f>+'Scenario_100%_RE'!P169/1000</f>
        <v>0</v>
      </c>
      <c r="E45" s="555">
        <f>+'Scenario_100%_RE'!Q169/1000</f>
        <v>37.229999999999997</v>
      </c>
      <c r="F45" s="555">
        <f>+'Scenario_100%_RE'!R169/1000</f>
        <v>37.229999999999997</v>
      </c>
      <c r="G45" s="555">
        <f>+'Scenario_100%_RE'!S169/1000</f>
        <v>37.229999999999997</v>
      </c>
      <c r="H45" s="555">
        <f>+'Scenario_100%_RE'!T169/1000</f>
        <v>781.83</v>
      </c>
      <c r="I45" s="555">
        <f>+'Scenario_100%_RE'!U169/1000</f>
        <v>781.83</v>
      </c>
      <c r="J45" s="555">
        <f>+'Scenario_100%_RE'!V169/1000</f>
        <v>781.83</v>
      </c>
      <c r="K45" s="555">
        <f>+'Scenario_100%_RE'!W169/1000</f>
        <v>781.83</v>
      </c>
      <c r="L45" s="555">
        <f>+'Scenario_100%_RE'!X169/1000</f>
        <v>781.83</v>
      </c>
      <c r="M45" s="555">
        <f>+'Scenario_100%_RE'!Y169/1000</f>
        <v>781.83</v>
      </c>
      <c r="N45" s="555">
        <f>+'Scenario_100%_RE'!Z169/1000</f>
        <v>781.83</v>
      </c>
      <c r="O45" s="556">
        <f>+'Scenario_100%_RE'!AA169/1000</f>
        <v>781.83</v>
      </c>
      <c r="P45" s="537"/>
      <c r="Q45" s="537"/>
    </row>
    <row r="46" spans="1:17" ht="15" thickBot="1" x14ac:dyDescent="0.35">
      <c r="A46" s="557" t="str">
        <f t="shared" si="8"/>
        <v>Biomass</v>
      </c>
      <c r="B46" s="558"/>
      <c r="C46" s="547">
        <f>(+'Scenario_100%_RE'!O177+'Scenario_100%_RE'!O335)/1000</f>
        <v>61.776900333333337</v>
      </c>
      <c r="D46" s="547">
        <f>(+'Scenario_100%_RE'!P177+'Scenario_100%_RE'!P335)/1000</f>
        <v>61.776900333333337</v>
      </c>
      <c r="E46" s="547">
        <f>(+'Scenario_100%_RE'!Q177+'Scenario_100%_RE'!Q335)/1000</f>
        <v>434.07690033333336</v>
      </c>
      <c r="F46" s="547">
        <f>(+'Scenario_100%_RE'!R177+'Scenario_100%_RE'!R335)/1000</f>
        <v>434.07690033333336</v>
      </c>
      <c r="G46" s="547">
        <f>(+'Scenario_100%_RE'!S177+'Scenario_100%_RE'!S335)/1000</f>
        <v>434.07690033333336</v>
      </c>
      <c r="H46" s="547">
        <f>(+'Scenario_100%_RE'!T177+'Scenario_100%_RE'!T335)/1000</f>
        <v>434.07690033333336</v>
      </c>
      <c r="I46" s="547">
        <f>(+'Scenario_100%_RE'!U177+'Scenario_100%_RE'!U335)/1000</f>
        <v>434.07690033333336</v>
      </c>
      <c r="J46" s="547">
        <f>(+'Scenario_100%_RE'!V177+'Scenario_100%_RE'!V335)/1000</f>
        <v>434.07690033333336</v>
      </c>
      <c r="K46" s="547">
        <f>(+'Scenario_100%_RE'!W177+'Scenario_100%_RE'!W335)/1000</f>
        <v>434.07690033333336</v>
      </c>
      <c r="L46" s="547">
        <f>(+'Scenario_100%_RE'!X177+'Scenario_100%_RE'!X335)/1000</f>
        <v>434.07690033333336</v>
      </c>
      <c r="M46" s="547">
        <f>(+'Scenario_100%_RE'!Y177+'Scenario_100%_RE'!Y335)/1000</f>
        <v>434.07690033333336</v>
      </c>
      <c r="N46" s="547">
        <f>(+'Scenario_100%_RE'!Z177+'Scenario_100%_RE'!Z335)/1000</f>
        <v>434.07690033333336</v>
      </c>
      <c r="O46" s="548">
        <f>(+'Scenario_100%_RE'!AA177+'Scenario_100%_RE'!AA335)/1000</f>
        <v>434.07690033333336</v>
      </c>
      <c r="P46" s="537"/>
      <c r="Q46" s="537"/>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6633"/>
  </sheetPr>
  <dimension ref="B3:AB273"/>
  <sheetViews>
    <sheetView topLeftCell="A22" zoomScale="70" zoomScaleNormal="70" workbookViewId="0">
      <pane xSplit="6" ySplit="6" topLeftCell="W121" activePane="bottomRight" state="frozen"/>
      <selection activeCell="A22" sqref="A22"/>
      <selection pane="topRight" activeCell="G22" sqref="G22"/>
      <selection pane="bottomLeft" activeCell="A28" sqref="A28"/>
      <selection pane="bottomRight" activeCell="D27" sqref="D27"/>
    </sheetView>
  </sheetViews>
  <sheetFormatPr baseColWidth="10" defaultColWidth="9.109375" defaultRowHeight="14.4" x14ac:dyDescent="0.3"/>
  <cols>
    <col min="1" max="1" width="9.109375" style="1"/>
    <col min="2" max="2" width="42.5546875" style="1" customWidth="1"/>
    <col min="3" max="3" width="13.88671875" style="1" customWidth="1"/>
    <col min="4" max="4" width="10.5546875" style="1" customWidth="1"/>
    <col min="5" max="5" width="14.33203125" style="1" bestFit="1" customWidth="1"/>
    <col min="6" max="6" width="14.33203125" style="1" customWidth="1"/>
    <col min="7" max="27" width="13.33203125" style="1" customWidth="1"/>
    <col min="28" max="28" width="12.33203125" style="1" bestFit="1" customWidth="1"/>
    <col min="29" max="16384" width="9.109375" style="1"/>
  </cols>
  <sheetData>
    <row r="3" spans="2:27" ht="23.4" x14ac:dyDescent="0.45">
      <c r="B3" s="477" t="s">
        <v>487</v>
      </c>
    </row>
    <row r="6" spans="2:27" x14ac:dyDescent="0.3">
      <c r="B6" s="381" t="s">
        <v>446</v>
      </c>
      <c r="C6" s="381"/>
      <c r="D6" s="381"/>
      <c r="E6" s="381"/>
      <c r="F6" s="381"/>
      <c r="G6" s="381">
        <v>2010</v>
      </c>
      <c r="H6" s="381">
        <v>2011</v>
      </c>
      <c r="I6" s="381">
        <v>2012</v>
      </c>
      <c r="J6" s="381">
        <v>2013</v>
      </c>
      <c r="K6" s="381">
        <v>2014</v>
      </c>
      <c r="L6" s="381">
        <v>2015</v>
      </c>
      <c r="M6" s="381">
        <v>2016</v>
      </c>
      <c r="N6" s="381">
        <v>2017</v>
      </c>
      <c r="O6" s="381">
        <v>2018</v>
      </c>
      <c r="P6" s="381">
        <v>2019</v>
      </c>
      <c r="Q6" s="381">
        <v>2020</v>
      </c>
      <c r="R6" s="381">
        <v>2021</v>
      </c>
      <c r="S6" s="381">
        <v>2022</v>
      </c>
      <c r="T6" s="381">
        <v>2023</v>
      </c>
      <c r="U6" s="381">
        <v>2024</v>
      </c>
      <c r="V6" s="381">
        <v>2025</v>
      </c>
      <c r="W6" s="381">
        <v>2026</v>
      </c>
      <c r="X6" s="381">
        <v>2027</v>
      </c>
      <c r="Y6" s="381">
        <v>2028</v>
      </c>
      <c r="Z6" s="381">
        <v>2029</v>
      </c>
      <c r="AA6" s="381">
        <v>2030</v>
      </c>
    </row>
    <row r="7" spans="2:27" x14ac:dyDescent="0.3">
      <c r="B7" s="403" t="s">
        <v>405</v>
      </c>
      <c r="C7" s="384"/>
      <c r="D7" s="384"/>
      <c r="E7" s="384"/>
      <c r="F7" s="384"/>
      <c r="G7" s="407">
        <v>5814019.0352499997</v>
      </c>
      <c r="H7" s="407">
        <v>6301852.2619999992</v>
      </c>
      <c r="I7" s="407">
        <v>6604327.1639999999</v>
      </c>
      <c r="J7" s="407">
        <v>7012819.3770000003</v>
      </c>
      <c r="K7" s="407">
        <v>7477658.0630000019</v>
      </c>
      <c r="L7" s="407">
        <v>7945921.6869999999</v>
      </c>
      <c r="M7" s="407">
        <v>8377847.3140000002</v>
      </c>
      <c r="N7" s="407">
        <v>8613743.881000001</v>
      </c>
      <c r="O7" s="407">
        <v>9096484.1005555242</v>
      </c>
      <c r="P7" s="407">
        <v>9861641.2775088195</v>
      </c>
      <c r="Q7" s="407">
        <v>10650466.03389922</v>
      </c>
      <c r="R7" s="407">
        <v>11767871.007999998</v>
      </c>
      <c r="S7" s="407">
        <v>12509304.038000001</v>
      </c>
      <c r="T7" s="407">
        <v>13292004.038000001</v>
      </c>
      <c r="U7" s="407">
        <v>14119084.037999999</v>
      </c>
      <c r="V7" s="407">
        <v>14992914.037999995</v>
      </c>
      <c r="W7" s="407">
        <v>15915934.037999999</v>
      </c>
      <c r="X7" s="407">
        <v>16890764.037999999</v>
      </c>
      <c r="Y7" s="407">
        <v>17920144.037999999</v>
      </c>
      <c r="Z7" s="407">
        <v>19006944.038000003</v>
      </c>
      <c r="AA7" s="407">
        <v>20154224.037999999</v>
      </c>
    </row>
    <row r="8" spans="2:27" x14ac:dyDescent="0.3">
      <c r="B8" s="403" t="s">
        <v>404</v>
      </c>
      <c r="C8" s="384"/>
      <c r="D8" s="384"/>
      <c r="E8" s="384"/>
      <c r="F8" s="384"/>
      <c r="G8" s="81"/>
      <c r="H8" s="81"/>
      <c r="I8" s="81"/>
      <c r="J8" s="81"/>
      <c r="K8" s="81"/>
      <c r="L8" s="81"/>
      <c r="M8" s="81"/>
      <c r="N8" s="81"/>
      <c r="O8" s="472">
        <v>0.04</v>
      </c>
      <c r="P8" s="472">
        <v>0.04</v>
      </c>
      <c r="Q8" s="472">
        <v>0.04</v>
      </c>
      <c r="R8" s="472">
        <v>0.04</v>
      </c>
      <c r="S8" s="472">
        <v>0.04</v>
      </c>
      <c r="T8" s="472">
        <v>0.04</v>
      </c>
      <c r="U8" s="472">
        <v>0.04</v>
      </c>
      <c r="V8" s="472">
        <v>0.04</v>
      </c>
      <c r="W8" s="472">
        <v>0.04</v>
      </c>
      <c r="X8" s="472">
        <v>0.04</v>
      </c>
      <c r="Y8" s="472">
        <v>0.04</v>
      </c>
      <c r="Z8" s="472">
        <v>0.04</v>
      </c>
      <c r="AA8" s="472">
        <v>0.04</v>
      </c>
    </row>
    <row r="9" spans="2:27" x14ac:dyDescent="0.3">
      <c r="B9" s="84" t="s">
        <v>406</v>
      </c>
      <c r="C9" s="81"/>
      <c r="D9" s="81"/>
      <c r="E9" s="81"/>
      <c r="F9" s="81"/>
      <c r="G9" s="404">
        <f>+G12</f>
        <v>6085440.8650679979</v>
      </c>
      <c r="H9" s="404">
        <f t="shared" ref="H9:N9" si="0">+H12</f>
        <v>6592941.5332299992</v>
      </c>
      <c r="I9" s="404">
        <f t="shared" si="0"/>
        <v>6861925.9259466501</v>
      </c>
      <c r="J9" s="404">
        <f t="shared" si="0"/>
        <v>7286833.0360245043</v>
      </c>
      <c r="K9" s="404">
        <f t="shared" si="0"/>
        <v>7743488.7027113652</v>
      </c>
      <c r="L9" s="404">
        <f t="shared" si="0"/>
        <v>8248316.8230674472</v>
      </c>
      <c r="M9" s="404">
        <f t="shared" si="0"/>
        <v>8669522.2586782202</v>
      </c>
      <c r="N9" s="404">
        <f t="shared" si="0"/>
        <v>8890377.2369821966</v>
      </c>
      <c r="O9" s="404">
        <f>+O7/(1-O8)</f>
        <v>9475504.2714120056</v>
      </c>
      <c r="P9" s="404">
        <f t="shared" ref="P9:AA9" si="1">+P7/(1-P8)</f>
        <v>10272542.997405021</v>
      </c>
      <c r="Q9" s="404">
        <f t="shared" si="1"/>
        <v>11094235.451978354</v>
      </c>
      <c r="R9" s="404">
        <f t="shared" si="1"/>
        <v>12258198.966666665</v>
      </c>
      <c r="S9" s="404">
        <f t="shared" si="1"/>
        <v>13030525.039583335</v>
      </c>
      <c r="T9" s="404">
        <f t="shared" si="1"/>
        <v>13845837.539583335</v>
      </c>
      <c r="U9" s="404">
        <f t="shared" si="1"/>
        <v>14707379.206249999</v>
      </c>
      <c r="V9" s="404">
        <f t="shared" si="1"/>
        <v>15617618.789583329</v>
      </c>
      <c r="W9" s="404">
        <f t="shared" si="1"/>
        <v>16579097.956249999</v>
      </c>
      <c r="X9" s="404">
        <f t="shared" si="1"/>
        <v>17594545.872916665</v>
      </c>
      <c r="Y9" s="404">
        <f t="shared" si="1"/>
        <v>18666816.706250001</v>
      </c>
      <c r="Z9" s="404">
        <f t="shared" si="1"/>
        <v>19798900.039583337</v>
      </c>
      <c r="AA9" s="404">
        <f t="shared" si="1"/>
        <v>20993983.372916665</v>
      </c>
    </row>
    <row r="10" spans="2:27" x14ac:dyDescent="0.3">
      <c r="B10" s="405"/>
      <c r="C10" s="405"/>
      <c r="D10" s="405"/>
      <c r="E10" s="405"/>
      <c r="F10" s="405"/>
      <c r="G10" s="405"/>
      <c r="H10" s="405"/>
      <c r="I10" s="405"/>
      <c r="J10" s="405"/>
      <c r="K10" s="405"/>
      <c r="L10" s="405"/>
      <c r="M10" s="405"/>
      <c r="N10" s="405"/>
      <c r="O10" s="406"/>
      <c r="P10" s="406"/>
      <c r="Q10" s="406"/>
      <c r="R10" s="406"/>
      <c r="S10" s="405"/>
      <c r="T10" s="405"/>
      <c r="U10" s="405"/>
      <c r="V10" s="405"/>
      <c r="W10" s="405"/>
      <c r="X10" s="405"/>
      <c r="Y10" s="405"/>
      <c r="Z10" s="405"/>
      <c r="AA10" s="405"/>
    </row>
    <row r="11" spans="2:27" x14ac:dyDescent="0.3">
      <c r="B11" s="405"/>
      <c r="C11" s="405"/>
      <c r="D11" s="405"/>
      <c r="E11" s="405"/>
      <c r="F11" s="405"/>
      <c r="G11" s="405"/>
      <c r="H11" s="405"/>
      <c r="I11" s="405"/>
      <c r="J11" s="405"/>
      <c r="K11" s="405"/>
      <c r="L11" s="405"/>
      <c r="M11" s="405"/>
      <c r="N11" s="405"/>
      <c r="O11" s="406">
        <f>+O12-O9</f>
        <v>0</v>
      </c>
      <c r="P11" s="406">
        <f t="shared" ref="P11:Z11" si="2">+P12-P9</f>
        <v>0</v>
      </c>
      <c r="Q11" s="406">
        <f t="shared" si="2"/>
        <v>0</v>
      </c>
      <c r="R11" s="406">
        <f t="shared" si="2"/>
        <v>0</v>
      </c>
      <c r="S11" s="406">
        <f t="shared" si="2"/>
        <v>0</v>
      </c>
      <c r="T11" s="406">
        <f t="shared" si="2"/>
        <v>0</v>
      </c>
      <c r="U11" s="406">
        <f t="shared" si="2"/>
        <v>0</v>
      </c>
      <c r="V11" s="406">
        <f t="shared" si="2"/>
        <v>0</v>
      </c>
      <c r="W11" s="406">
        <f t="shared" si="2"/>
        <v>0</v>
      </c>
      <c r="X11" s="406">
        <f t="shared" si="2"/>
        <v>0</v>
      </c>
      <c r="Y11" s="406">
        <f t="shared" si="2"/>
        <v>0</v>
      </c>
      <c r="Z11" s="406">
        <f t="shared" si="2"/>
        <v>0</v>
      </c>
      <c r="AA11" s="406">
        <f>+AA12-AA9</f>
        <v>0</v>
      </c>
    </row>
    <row r="12" spans="2:27" x14ac:dyDescent="0.3">
      <c r="B12" s="381" t="s">
        <v>196</v>
      </c>
      <c r="C12" s="381"/>
      <c r="D12" s="381"/>
      <c r="E12" s="381"/>
      <c r="F12" s="381"/>
      <c r="G12" s="382">
        <f t="shared" ref="G12:N12" si="3">+G118+G190+G262+G270</f>
        <v>6085440.8650679979</v>
      </c>
      <c r="H12" s="382">
        <f t="shared" si="3"/>
        <v>6592941.5332299992</v>
      </c>
      <c r="I12" s="382">
        <f t="shared" si="3"/>
        <v>6861925.9259466501</v>
      </c>
      <c r="J12" s="382">
        <f t="shared" si="3"/>
        <v>7286833.0360245043</v>
      </c>
      <c r="K12" s="382">
        <f t="shared" si="3"/>
        <v>7743488.7027113652</v>
      </c>
      <c r="L12" s="382">
        <f t="shared" si="3"/>
        <v>8248316.8230674472</v>
      </c>
      <c r="M12" s="382">
        <f t="shared" si="3"/>
        <v>8669522.2586782202</v>
      </c>
      <c r="N12" s="382">
        <f t="shared" si="3"/>
        <v>8890377.2369821966</v>
      </c>
      <c r="O12" s="382">
        <f t="shared" ref="O12:AA12" si="4">+O118+O190+O262+O270+O28+O45+O72+O90+O107</f>
        <v>9475504.2714120056</v>
      </c>
      <c r="P12" s="382">
        <f t="shared" si="4"/>
        <v>10272542.997405021</v>
      </c>
      <c r="Q12" s="382">
        <f t="shared" si="4"/>
        <v>11094235.451978354</v>
      </c>
      <c r="R12" s="382">
        <f t="shared" si="4"/>
        <v>12258198.966666665</v>
      </c>
      <c r="S12" s="382">
        <f t="shared" si="4"/>
        <v>13030525.039583333</v>
      </c>
      <c r="T12" s="382">
        <f t="shared" si="4"/>
        <v>13845837.539583335</v>
      </c>
      <c r="U12" s="382">
        <f t="shared" si="4"/>
        <v>14707379.206249999</v>
      </c>
      <c r="V12" s="382">
        <f t="shared" si="4"/>
        <v>15617618.789583329</v>
      </c>
      <c r="W12" s="382">
        <f t="shared" si="4"/>
        <v>16579097.956250001</v>
      </c>
      <c r="X12" s="382">
        <f t="shared" si="4"/>
        <v>17594545.872916669</v>
      </c>
      <c r="Y12" s="382">
        <f t="shared" si="4"/>
        <v>18666816.706250004</v>
      </c>
      <c r="Z12" s="382">
        <f t="shared" si="4"/>
        <v>19798900.039583337</v>
      </c>
      <c r="AA12" s="382">
        <f t="shared" si="4"/>
        <v>20993983.372916665</v>
      </c>
    </row>
    <row r="13" spans="2:27" x14ac:dyDescent="0.3">
      <c r="B13" s="206" t="s">
        <v>400</v>
      </c>
      <c r="C13" s="206"/>
      <c r="D13" s="206"/>
      <c r="E13" s="206"/>
      <c r="F13" s="206"/>
      <c r="G13" s="200">
        <f>+G190+G262+G270</f>
        <v>2209585.150035846</v>
      </c>
      <c r="H13" s="200">
        <f t="shared" ref="H13:N13" si="5">+H190+H262+H270</f>
        <v>2388145.9836729998</v>
      </c>
      <c r="I13" s="200">
        <f t="shared" si="5"/>
        <v>2386578.6652733334</v>
      </c>
      <c r="J13" s="200">
        <f t="shared" si="5"/>
        <v>2594391.147199627</v>
      </c>
      <c r="K13" s="200">
        <f t="shared" si="5"/>
        <v>2317460.2385350005</v>
      </c>
      <c r="L13" s="200">
        <f t="shared" si="5"/>
        <v>2530134.7848262745</v>
      </c>
      <c r="M13" s="200">
        <f t="shared" si="5"/>
        <v>1811708.9550000003</v>
      </c>
      <c r="N13" s="200">
        <f t="shared" si="5"/>
        <v>2334294.7473999988</v>
      </c>
      <c r="O13" s="200">
        <f t="shared" ref="O13:AA13" si="6">+O45+O72+O90+O107+O190+O262+O270</f>
        <v>3176644.4586587572</v>
      </c>
      <c r="P13" s="200">
        <f t="shared" si="6"/>
        <v>3678816.5949920905</v>
      </c>
      <c r="Q13" s="200">
        <f t="shared" si="6"/>
        <v>4047174.5949920905</v>
      </c>
      <c r="R13" s="200">
        <f t="shared" si="6"/>
        <v>6349740.5949920909</v>
      </c>
      <c r="S13" s="200">
        <f t="shared" si="6"/>
        <v>6349740.5949920909</v>
      </c>
      <c r="T13" s="200">
        <f t="shared" si="6"/>
        <v>6349740.5949920909</v>
      </c>
      <c r="U13" s="200">
        <f t="shared" si="6"/>
        <v>6349740.5949920909</v>
      </c>
      <c r="V13" s="200">
        <f t="shared" si="6"/>
        <v>6349740.5949920909</v>
      </c>
      <c r="W13" s="200">
        <f t="shared" si="6"/>
        <v>6349740.5949920909</v>
      </c>
      <c r="X13" s="200">
        <f t="shared" si="6"/>
        <v>6349740.5949920909</v>
      </c>
      <c r="Y13" s="200">
        <f t="shared" si="6"/>
        <v>6349740.5949920909</v>
      </c>
      <c r="Z13" s="200">
        <f t="shared" si="6"/>
        <v>7444740.5949920909</v>
      </c>
      <c r="AA13" s="200">
        <f t="shared" si="6"/>
        <v>7838940.5949920909</v>
      </c>
    </row>
    <row r="14" spans="2:27" x14ac:dyDescent="0.3">
      <c r="B14" s="206" t="s">
        <v>401</v>
      </c>
      <c r="C14" s="206"/>
      <c r="D14" s="206"/>
      <c r="E14" s="206"/>
      <c r="F14" s="206"/>
      <c r="G14" s="380">
        <f>+G13/G12</f>
        <v>0.36309368524463614</v>
      </c>
      <c r="H14" s="380">
        <f t="shared" ref="H14:N14" si="7">+H13/H12</f>
        <v>0.36222769027090168</v>
      </c>
      <c r="I14" s="380">
        <f t="shared" si="7"/>
        <v>0.34780012069921734</v>
      </c>
      <c r="J14" s="380">
        <f t="shared" si="7"/>
        <v>0.35603823147498043</v>
      </c>
      <c r="K14" s="380">
        <f t="shared" si="7"/>
        <v>0.29927857164995242</v>
      </c>
      <c r="L14" s="380">
        <f t="shared" si="7"/>
        <v>0.30674558689967352</v>
      </c>
      <c r="M14" s="380">
        <f t="shared" si="7"/>
        <v>0.20897448566862767</v>
      </c>
      <c r="N14" s="380">
        <f t="shared" si="7"/>
        <v>0.26256419555401972</v>
      </c>
      <c r="O14" s="380">
        <f t="shared" ref="O14" si="8">+O13/O12</f>
        <v>0.33524806360362552</v>
      </c>
      <c r="P14" s="380">
        <f t="shared" ref="P14" si="9">+P13/P12</f>
        <v>0.3581213138675991</v>
      </c>
      <c r="Q14" s="380">
        <f t="shared" ref="Q14" si="10">+Q13/Q12</f>
        <v>0.36479977484797182</v>
      </c>
      <c r="R14" s="380">
        <f t="shared" ref="R14" si="11">+R13/R12</f>
        <v>0.51799947221110876</v>
      </c>
      <c r="S14" s="380">
        <f t="shared" ref="S14" si="12">+S13/S12</f>
        <v>0.48729737103479998</v>
      </c>
      <c r="T14" s="380">
        <f t="shared" ref="T14" si="13">+T13/T12</f>
        <v>0.45860285279522173</v>
      </c>
      <c r="U14" s="380">
        <f t="shared" ref="U14" si="14">+U13/U12</f>
        <v>0.43173841552230641</v>
      </c>
      <c r="V14" s="380">
        <f t="shared" ref="V14" si="15">+V13/V12</f>
        <v>0.40657546329836491</v>
      </c>
      <c r="W14" s="380">
        <f t="shared" ref="W14" si="16">+W13/W12</f>
        <v>0.38299674757626734</v>
      </c>
      <c r="X14" s="380">
        <f t="shared" ref="X14" si="17">+X13/X12</f>
        <v>0.36089255391162234</v>
      </c>
      <c r="Y14" s="380">
        <f t="shared" ref="Y14" si="18">+Y13/Y12</f>
        <v>0.34016194056622828</v>
      </c>
      <c r="Z14" s="380">
        <f t="shared" ref="Z14" si="19">+Z13/Z12</f>
        <v>0.37601788887807142</v>
      </c>
      <c r="AA14" s="380">
        <f t="shared" ref="AA14" si="20">+AA13/AA12</f>
        <v>0.37338986393143159</v>
      </c>
    </row>
    <row r="15" spans="2:27" x14ac:dyDescent="0.3">
      <c r="B15" s="206" t="s">
        <v>403</v>
      </c>
      <c r="C15" s="206"/>
      <c r="D15" s="206"/>
      <c r="E15" s="206"/>
      <c r="F15" s="206"/>
      <c r="G15" s="383">
        <f t="shared" ref="G15:N15" si="21">+G118</f>
        <v>3875855.7150321514</v>
      </c>
      <c r="H15" s="383">
        <f t="shared" si="21"/>
        <v>4204795.5495570004</v>
      </c>
      <c r="I15" s="383">
        <f t="shared" si="21"/>
        <v>4475347.2606733171</v>
      </c>
      <c r="J15" s="383">
        <f t="shared" si="21"/>
        <v>4692441.8888248773</v>
      </c>
      <c r="K15" s="383">
        <f t="shared" si="21"/>
        <v>5426028.4641763652</v>
      </c>
      <c r="L15" s="383">
        <f t="shared" si="21"/>
        <v>5718182.0382411722</v>
      </c>
      <c r="M15" s="383">
        <f t="shared" si="21"/>
        <v>6857813.3036782192</v>
      </c>
      <c r="N15" s="383">
        <f t="shared" si="21"/>
        <v>6556082.4895821987</v>
      </c>
      <c r="O15" s="383">
        <f t="shared" ref="O15:AA15" si="22">+O28+O118</f>
        <v>6298859.812753248</v>
      </c>
      <c r="P15" s="383">
        <f t="shared" si="22"/>
        <v>6593726.4024129305</v>
      </c>
      <c r="Q15" s="383">
        <f t="shared" si="22"/>
        <v>7047060.8569862628</v>
      </c>
      <c r="R15" s="383">
        <f t="shared" si="22"/>
        <v>5908458.371674574</v>
      </c>
      <c r="S15" s="383">
        <f t="shared" si="22"/>
        <v>6680784.4445912428</v>
      </c>
      <c r="T15" s="383">
        <f t="shared" si="22"/>
        <v>7496096.9445912447</v>
      </c>
      <c r="U15" s="383">
        <f t="shared" si="22"/>
        <v>8357638.6112579079</v>
      </c>
      <c r="V15" s="383">
        <f t="shared" si="22"/>
        <v>9267878.1945912391</v>
      </c>
      <c r="W15" s="383">
        <f t="shared" si="22"/>
        <v>10229357.361257909</v>
      </c>
      <c r="X15" s="383">
        <f t="shared" si="22"/>
        <v>11244805.277924575</v>
      </c>
      <c r="Y15" s="383">
        <f t="shared" si="22"/>
        <v>12317076.111257911</v>
      </c>
      <c r="Z15" s="383">
        <f t="shared" si="22"/>
        <v>12354159.444591247</v>
      </c>
      <c r="AA15" s="383">
        <f t="shared" si="22"/>
        <v>13155042.777924575</v>
      </c>
    </row>
    <row r="16" spans="2:27" x14ac:dyDescent="0.3">
      <c r="B16" s="206" t="s">
        <v>402</v>
      </c>
      <c r="C16" s="206"/>
      <c r="D16" s="206"/>
      <c r="E16" s="206"/>
      <c r="F16" s="206"/>
      <c r="G16" s="380">
        <f>+G15/G12</f>
        <v>0.63690631475536374</v>
      </c>
      <c r="H16" s="380">
        <f t="shared" ref="H16:N16" si="23">+H15/H12</f>
        <v>0.63777230972909849</v>
      </c>
      <c r="I16" s="380">
        <f t="shared" si="23"/>
        <v>0.65219987930078271</v>
      </c>
      <c r="J16" s="380">
        <f t="shared" si="23"/>
        <v>0.64396176852501952</v>
      </c>
      <c r="K16" s="380">
        <f t="shared" si="23"/>
        <v>0.70072142835004758</v>
      </c>
      <c r="L16" s="380">
        <f t="shared" si="23"/>
        <v>0.69325441310032643</v>
      </c>
      <c r="M16" s="380">
        <f t="shared" si="23"/>
        <v>0.79102551433137225</v>
      </c>
      <c r="N16" s="380">
        <f t="shared" si="23"/>
        <v>0.73743580444598045</v>
      </c>
      <c r="O16" s="380">
        <f t="shared" ref="O16" si="24">+O15/O12</f>
        <v>0.66475193639637442</v>
      </c>
      <c r="P16" s="380">
        <f t="shared" ref="P16" si="25">+P15/P12</f>
        <v>0.64187868613240096</v>
      </c>
      <c r="Q16" s="380">
        <f t="shared" ref="Q16" si="26">+Q15/Q12</f>
        <v>0.63520022515202812</v>
      </c>
      <c r="R16" s="380">
        <f t="shared" ref="R16" si="27">+R15/R12</f>
        <v>0.48200052778889124</v>
      </c>
      <c r="S16" s="380">
        <f t="shared" ref="S16" si="28">+S15/S12</f>
        <v>0.51270262896520014</v>
      </c>
      <c r="T16" s="380">
        <f t="shared" ref="T16" si="29">+T15/T12</f>
        <v>0.54139714720477838</v>
      </c>
      <c r="U16" s="380">
        <f t="shared" ref="U16" si="30">+U15/U12</f>
        <v>0.56826158447769359</v>
      </c>
      <c r="V16" s="380">
        <f t="shared" ref="V16" si="31">+V15/V12</f>
        <v>0.5934245367016352</v>
      </c>
      <c r="W16" s="380">
        <f t="shared" ref="W16" si="32">+W15/W12</f>
        <v>0.61700325242373266</v>
      </c>
      <c r="X16" s="380">
        <f t="shared" ref="X16" si="33">+X15/X12</f>
        <v>0.63910744608837755</v>
      </c>
      <c r="Y16" s="380">
        <f t="shared" ref="Y16" si="34">+Y15/Y12</f>
        <v>0.65983805943377161</v>
      </c>
      <c r="Z16" s="380">
        <f t="shared" ref="Z16" si="35">+Z15/Z12</f>
        <v>0.62398211112192858</v>
      </c>
      <c r="AA16" s="380">
        <f t="shared" ref="AA16" si="36">+AA15/AA12</f>
        <v>0.62661013606856841</v>
      </c>
    </row>
    <row r="17" spans="2:27" x14ac:dyDescent="0.3">
      <c r="B17" s="13"/>
      <c r="C17" s="13"/>
      <c r="D17" s="13"/>
      <c r="E17" s="13"/>
      <c r="F17" s="13"/>
      <c r="G17" s="41"/>
      <c r="H17" s="41"/>
      <c r="I17" s="41"/>
      <c r="J17" s="41"/>
      <c r="K17" s="41"/>
      <c r="L17" s="41"/>
      <c r="M17" s="41"/>
      <c r="N17" s="41"/>
      <c r="O17" s="41"/>
      <c r="P17" s="41"/>
      <c r="Q17" s="41"/>
      <c r="R17" s="41"/>
      <c r="S17" s="41"/>
      <c r="T17" s="41"/>
      <c r="U17" s="41"/>
      <c r="V17" s="41"/>
      <c r="W17" s="41"/>
      <c r="X17" s="41"/>
      <c r="Y17" s="41"/>
      <c r="Z17" s="41"/>
      <c r="AA17" s="41"/>
    </row>
    <row r="18" spans="2:27" x14ac:dyDescent="0.3">
      <c r="B18" s="381" t="s">
        <v>441</v>
      </c>
      <c r="C18" s="381"/>
      <c r="D18" s="381"/>
      <c r="E18" s="381"/>
      <c r="F18" s="381"/>
      <c r="G18" s="382"/>
      <c r="H18" s="382"/>
      <c r="I18" s="382"/>
      <c r="J18" s="382"/>
      <c r="K18" s="382"/>
      <c r="L18" s="382"/>
      <c r="M18" s="382"/>
      <c r="N18" s="382"/>
      <c r="O18" s="382"/>
      <c r="P18" s="382"/>
      <c r="Q18" s="382"/>
      <c r="R18" s="382"/>
      <c r="S18" s="382"/>
      <c r="T18" s="382"/>
      <c r="U18" s="382"/>
      <c r="V18" s="382"/>
      <c r="W18" s="382"/>
      <c r="X18" s="382"/>
      <c r="Y18" s="382"/>
      <c r="Z18" s="382"/>
      <c r="AA18" s="382"/>
    </row>
    <row r="19" spans="2:27" ht="15.6" x14ac:dyDescent="0.35">
      <c r="B19" s="206" t="s">
        <v>443</v>
      </c>
      <c r="C19" s="206"/>
      <c r="D19" s="206"/>
      <c r="E19" s="206"/>
      <c r="F19" s="206"/>
      <c r="G19" s="200">
        <f>+OM_EF_2010!H23</f>
        <v>2367600.8022007537</v>
      </c>
      <c r="H19" s="200">
        <f>+OM_EF_2011!H22</f>
        <v>2563443.5542223589</v>
      </c>
      <c r="I19" s="200">
        <f>+OM_EF_2012!H22</f>
        <v>2817609.7087179245</v>
      </c>
      <c r="J19" s="200">
        <f>+OM_EF_2013!H22</f>
        <v>2778715.3568573501</v>
      </c>
      <c r="K19" s="200">
        <f>+OM_EF_2014!H22</f>
        <v>3227014.1231285771</v>
      </c>
      <c r="L19" s="200">
        <f>+OM_EF_2015!H22</f>
        <v>3281998.2416344592</v>
      </c>
      <c r="M19" s="200">
        <f>+OM_EF_2016!H23</f>
        <v>4027512.3858852028</v>
      </c>
      <c r="N19" s="200">
        <f>+OM_EF_2017!H22</f>
        <v>3757647.5833060076</v>
      </c>
      <c r="O19" s="200">
        <f t="shared" ref="O19:AA19" si="37">+SUMPRODUCT($F$119:$F$186,O119:O186)+SUMPRODUCT($F$29:$F$42,O29:O42)</f>
        <v>3593345.0826939205</v>
      </c>
      <c r="P19" s="200">
        <f t="shared" si="37"/>
        <v>2590778.1770419697</v>
      </c>
      <c r="Q19" s="200">
        <f t="shared" si="37"/>
        <v>2689917.2438574089</v>
      </c>
      <c r="R19" s="200">
        <f t="shared" si="37"/>
        <v>2255303.9318264099</v>
      </c>
      <c r="S19" s="200">
        <f t="shared" si="37"/>
        <v>2550106.7245906657</v>
      </c>
      <c r="T19" s="200">
        <f t="shared" si="37"/>
        <v>2861317.7666676324</v>
      </c>
      <c r="U19" s="200">
        <f t="shared" si="37"/>
        <v>3190174.8366574319</v>
      </c>
      <c r="V19" s="200">
        <f t="shared" si="37"/>
        <v>3546148.3090002248</v>
      </c>
      <c r="W19" s="200">
        <f t="shared" si="37"/>
        <v>4030417.9155624798</v>
      </c>
      <c r="X19" s="200">
        <f t="shared" si="37"/>
        <v>4620177.0492281429</v>
      </c>
      <c r="Y19" s="200">
        <f t="shared" si="37"/>
        <v>5303607.9024160039</v>
      </c>
      <c r="Z19" s="200">
        <f t="shared" si="37"/>
        <v>5329647.8818848105</v>
      </c>
      <c r="AA19" s="200">
        <f t="shared" si="37"/>
        <v>5846583.6686575636</v>
      </c>
    </row>
    <row r="20" spans="2:27" ht="15.6" x14ac:dyDescent="0.35">
      <c r="B20" s="206" t="s">
        <v>445</v>
      </c>
      <c r="C20" s="206"/>
      <c r="D20" s="206"/>
      <c r="E20" s="206"/>
      <c r="F20" s="206"/>
      <c r="G20" s="402">
        <f>+'Grid-EF'!H9</f>
        <v>0.3890598651268462</v>
      </c>
      <c r="H20" s="402">
        <f>+'Grid-EF'!I9</f>
        <v>0.38881636387976309</v>
      </c>
      <c r="I20" s="402">
        <f>+'Grid-EF'!J9</f>
        <v>0.41061499921819916</v>
      </c>
      <c r="J20" s="402">
        <f>+'Grid-EF'!K9</f>
        <v>0.38133374857362462</v>
      </c>
      <c r="K20" s="402">
        <f>+'Grid-EF'!L9</f>
        <v>0.41673904967390796</v>
      </c>
      <c r="L20" s="402">
        <f>+'Grid-EF'!M9</f>
        <v>0.39789914864278025</v>
      </c>
      <c r="M20" s="402">
        <f>+'Grid-EF'!N9</f>
        <v>0.46455989911712259</v>
      </c>
      <c r="N20" s="402">
        <f>+'Grid-EF'!O9</f>
        <v>0.42261392631992878</v>
      </c>
      <c r="O20" s="402">
        <f>+O19/O12</f>
        <v>0.37922468079458244</v>
      </c>
      <c r="P20" s="402">
        <f t="shared" ref="P20:AA20" si="38">+P19/P12</f>
        <v>0.25220416966825393</v>
      </c>
      <c r="Q20" s="402">
        <f t="shared" si="38"/>
        <v>0.24246080367599696</v>
      </c>
      <c r="R20" s="402">
        <f t="shared" si="38"/>
        <v>0.1839833027640673</v>
      </c>
      <c r="S20" s="402">
        <f t="shared" si="38"/>
        <v>0.19570253054609138</v>
      </c>
      <c r="T20" s="402">
        <f t="shared" si="38"/>
        <v>0.20665544850483192</v>
      </c>
      <c r="U20" s="402">
        <f t="shared" si="38"/>
        <v>0.21690981050531055</v>
      </c>
      <c r="V20" s="402">
        <f t="shared" si="38"/>
        <v>0.22706075470131476</v>
      </c>
      <c r="W20" s="402">
        <f t="shared" si="38"/>
        <v>0.24310236456761447</v>
      </c>
      <c r="X20" s="402">
        <f t="shared" si="38"/>
        <v>0.26259143501623383</v>
      </c>
      <c r="Y20" s="402">
        <f t="shared" si="38"/>
        <v>0.28411956820898421</v>
      </c>
      <c r="Z20" s="402">
        <f t="shared" si="38"/>
        <v>0.26918908986001283</v>
      </c>
      <c r="AA20" s="402">
        <f t="shared" si="38"/>
        <v>0.27848853477706198</v>
      </c>
    </row>
    <row r="21" spans="2:27" ht="15.6" x14ac:dyDescent="0.35">
      <c r="B21" s="206" t="s">
        <v>447</v>
      </c>
      <c r="C21" s="206"/>
      <c r="D21" s="206"/>
      <c r="E21" s="206"/>
      <c r="F21" s="206"/>
      <c r="G21" s="402">
        <f>+G19/G15</f>
        <v>0.61085885963665543</v>
      </c>
      <c r="H21" s="402">
        <f t="shared" ref="H21:Z21" si="39">+H19/H15</f>
        <v>0.6096476092618659</v>
      </c>
      <c r="I21" s="402">
        <f t="shared" si="39"/>
        <v>0.62958459860252602</v>
      </c>
      <c r="J21" s="402">
        <f t="shared" si="39"/>
        <v>0.59216830441201707</v>
      </c>
      <c r="K21" s="402">
        <f t="shared" si="39"/>
        <v>0.5947285651805766</v>
      </c>
      <c r="L21" s="402">
        <f t="shared" si="39"/>
        <v>0.57395833495429482</v>
      </c>
      <c r="M21" s="402">
        <f t="shared" si="39"/>
        <v>0.58728813508600886</v>
      </c>
      <c r="N21" s="402">
        <f t="shared" si="39"/>
        <v>0.57315440879168567</v>
      </c>
      <c r="O21" s="402">
        <f t="shared" si="39"/>
        <v>0.57047548120034441</v>
      </c>
      <c r="P21" s="402">
        <f t="shared" si="39"/>
        <v>0.39291563206108943</v>
      </c>
      <c r="Q21" s="402">
        <f t="shared" si="39"/>
        <v>0.38170767905185587</v>
      </c>
      <c r="R21" s="402">
        <f t="shared" si="39"/>
        <v>0.38170767905185599</v>
      </c>
      <c r="S21" s="402">
        <f t="shared" si="39"/>
        <v>0.38170767905185593</v>
      </c>
      <c r="T21" s="402">
        <f t="shared" si="39"/>
        <v>0.38170767905185587</v>
      </c>
      <c r="U21" s="402">
        <f t="shared" si="39"/>
        <v>0.38170767905185587</v>
      </c>
      <c r="V21" s="402">
        <f t="shared" si="39"/>
        <v>0.38262785014479012</v>
      </c>
      <c r="W21" s="402">
        <f t="shared" si="39"/>
        <v>0.39400499691476781</v>
      </c>
      <c r="X21" s="402">
        <f t="shared" si="39"/>
        <v>0.41087212584270533</v>
      </c>
      <c r="Y21" s="402">
        <f t="shared" si="39"/>
        <v>0.43058984571577519</v>
      </c>
      <c r="Z21" s="402">
        <f t="shared" si="39"/>
        <v>0.43140513976595751</v>
      </c>
      <c r="AA21" s="402">
        <f>+AA19/AA15</f>
        <v>0.44443668997174929</v>
      </c>
    </row>
    <row r="22" spans="2:27" x14ac:dyDescent="0.3">
      <c r="B22" s="13"/>
      <c r="C22" s="13"/>
      <c r="D22" s="13"/>
      <c r="E22" s="13"/>
      <c r="F22" s="13"/>
      <c r="G22" s="41"/>
      <c r="H22" s="41"/>
      <c r="I22" s="41"/>
      <c r="J22" s="41"/>
      <c r="K22" s="41"/>
      <c r="L22" s="41"/>
      <c r="M22" s="41"/>
      <c r="N22" s="41"/>
      <c r="O22" s="41"/>
      <c r="P22" s="41"/>
      <c r="Q22" s="41"/>
      <c r="R22" s="41"/>
      <c r="S22" s="41"/>
      <c r="T22" s="41"/>
      <c r="U22" s="41"/>
      <c r="V22" s="41"/>
      <c r="W22" s="41"/>
      <c r="X22" s="41"/>
      <c r="Y22" s="41"/>
      <c r="Z22" s="41"/>
      <c r="AA22" s="41"/>
    </row>
    <row r="23" spans="2:27" x14ac:dyDescent="0.3">
      <c r="B23" s="13"/>
      <c r="C23" s="13"/>
      <c r="D23" s="13"/>
      <c r="E23" s="13"/>
      <c r="F23" s="13"/>
      <c r="G23" s="41"/>
      <c r="H23" s="41"/>
      <c r="I23" s="41"/>
      <c r="J23" s="41"/>
      <c r="K23" s="41"/>
      <c r="L23" s="41"/>
      <c r="M23" s="41"/>
      <c r="N23" s="41"/>
      <c r="O23" s="41"/>
      <c r="P23" s="41"/>
      <c r="Q23" s="41"/>
      <c r="R23" s="41"/>
      <c r="S23" s="41"/>
      <c r="T23" s="41"/>
      <c r="U23" s="41"/>
      <c r="V23" s="41"/>
      <c r="W23" s="41"/>
      <c r="X23" s="41"/>
      <c r="Y23" s="41"/>
      <c r="Z23" s="41"/>
      <c r="AA23" s="41"/>
    </row>
    <row r="24" spans="2:27" x14ac:dyDescent="0.3">
      <c r="B24" s="385" t="s">
        <v>409</v>
      </c>
      <c r="C24" s="386"/>
      <c r="D24" s="386"/>
      <c r="E24" s="386"/>
      <c r="F24" s="386"/>
      <c r="G24" s="386"/>
      <c r="H24" s="386"/>
      <c r="I24" s="386"/>
      <c r="J24" s="386"/>
      <c r="K24" s="386"/>
      <c r="L24" s="386"/>
      <c r="M24" s="386"/>
      <c r="N24" s="386"/>
      <c r="O24" s="386"/>
      <c r="P24" s="386"/>
      <c r="Q24" s="386"/>
      <c r="R24" s="386"/>
      <c r="S24" s="386"/>
      <c r="T24" s="386"/>
      <c r="U24" s="386"/>
      <c r="V24" s="386"/>
      <c r="W24" s="386"/>
      <c r="X24" s="386"/>
      <c r="Y24" s="386"/>
      <c r="Z24" s="386"/>
      <c r="AA24" s="387"/>
    </row>
    <row r="25" spans="2:27" x14ac:dyDescent="0.3">
      <c r="B25" s="13"/>
      <c r="C25" s="13"/>
      <c r="D25" s="13"/>
      <c r="E25" s="13"/>
      <c r="F25" s="13"/>
      <c r="G25" s="41"/>
      <c r="H25" s="41"/>
      <c r="I25" s="41"/>
      <c r="J25" s="41"/>
      <c r="K25" s="41"/>
      <c r="L25" s="41"/>
      <c r="M25" s="41"/>
      <c r="N25" s="41"/>
      <c r="O25" s="41"/>
      <c r="P25" s="41"/>
      <c r="Q25" s="41"/>
      <c r="R25" s="41"/>
      <c r="S25" s="41"/>
      <c r="T25" s="41"/>
      <c r="U25" s="41"/>
      <c r="V25" s="41"/>
      <c r="W25" s="41"/>
      <c r="X25" s="41"/>
      <c r="Y25" s="41"/>
      <c r="Z25" s="41"/>
      <c r="AA25" s="41"/>
    </row>
    <row r="26" spans="2:27" x14ac:dyDescent="0.3">
      <c r="B26" s="381"/>
      <c r="C26" s="381"/>
      <c r="D26" s="381"/>
      <c r="E26" s="381"/>
      <c r="F26" s="381"/>
      <c r="G26" s="381">
        <v>2010</v>
      </c>
      <c r="H26" s="381">
        <v>2011</v>
      </c>
      <c r="I26" s="381">
        <v>2012</v>
      </c>
      <c r="J26" s="381">
        <v>2013</v>
      </c>
      <c r="K26" s="381">
        <v>2014</v>
      </c>
      <c r="L26" s="381">
        <v>2015</v>
      </c>
      <c r="M26" s="381">
        <v>2016</v>
      </c>
      <c r="N26" s="381">
        <v>2017</v>
      </c>
      <c r="O26" s="381">
        <v>2018</v>
      </c>
      <c r="P26" s="381">
        <v>2019</v>
      </c>
      <c r="Q26" s="381">
        <v>2020</v>
      </c>
      <c r="R26" s="381">
        <v>2021</v>
      </c>
      <c r="S26" s="381">
        <v>2022</v>
      </c>
      <c r="T26" s="381">
        <v>2023</v>
      </c>
      <c r="U26" s="381">
        <v>2024</v>
      </c>
      <c r="V26" s="381">
        <v>2025</v>
      </c>
      <c r="W26" s="381">
        <v>2026</v>
      </c>
      <c r="X26" s="381">
        <v>2027</v>
      </c>
      <c r="Y26" s="381">
        <v>2028</v>
      </c>
      <c r="Z26" s="381">
        <v>2029</v>
      </c>
      <c r="AA26" s="381">
        <v>2030</v>
      </c>
    </row>
    <row r="27" spans="2:27" ht="30" x14ac:dyDescent="0.35">
      <c r="B27" s="81" t="s">
        <v>163</v>
      </c>
      <c r="C27" s="80" t="s">
        <v>279</v>
      </c>
      <c r="D27" s="389" t="s">
        <v>397</v>
      </c>
      <c r="E27" s="388" t="s">
        <v>247</v>
      </c>
      <c r="F27" s="79" t="s">
        <v>444</v>
      </c>
      <c r="G27" s="79" t="s">
        <v>197</v>
      </c>
      <c r="H27" s="79" t="s">
        <v>197</v>
      </c>
      <c r="I27" s="79" t="s">
        <v>197</v>
      </c>
      <c r="J27" s="79" t="s">
        <v>197</v>
      </c>
      <c r="K27" s="79" t="s">
        <v>197</v>
      </c>
      <c r="L27" s="79" t="s">
        <v>197</v>
      </c>
      <c r="M27" s="79" t="s">
        <v>197</v>
      </c>
      <c r="N27" s="79" t="s">
        <v>197</v>
      </c>
      <c r="O27" s="79" t="s">
        <v>197</v>
      </c>
      <c r="P27" s="79" t="s">
        <v>197</v>
      </c>
      <c r="Q27" s="79" t="s">
        <v>197</v>
      </c>
      <c r="R27" s="79" t="s">
        <v>197</v>
      </c>
      <c r="S27" s="79" t="s">
        <v>197</v>
      </c>
      <c r="T27" s="79" t="s">
        <v>197</v>
      </c>
      <c r="U27" s="79" t="s">
        <v>197</v>
      </c>
      <c r="V27" s="79" t="s">
        <v>197</v>
      </c>
      <c r="W27" s="79" t="s">
        <v>197</v>
      </c>
      <c r="X27" s="79" t="s">
        <v>197</v>
      </c>
      <c r="Y27" s="79" t="s">
        <v>197</v>
      </c>
      <c r="Z27" s="79" t="s">
        <v>197</v>
      </c>
      <c r="AA27" s="79" t="s">
        <v>197</v>
      </c>
    </row>
    <row r="28" spans="2:27" x14ac:dyDescent="0.3">
      <c r="B28" s="16" t="s">
        <v>15</v>
      </c>
      <c r="C28" s="377"/>
      <c r="D28" s="377"/>
      <c r="E28" s="377"/>
      <c r="F28" s="377"/>
      <c r="G28" s="58"/>
      <c r="H28" s="58"/>
      <c r="I28" s="58"/>
      <c r="J28" s="58"/>
      <c r="K28" s="58"/>
      <c r="L28" s="58"/>
      <c r="M28" s="58"/>
      <c r="N28" s="58"/>
      <c r="O28" s="58">
        <f t="shared" ref="O28:AA28" si="40">SUM(O29:O42)</f>
        <v>0</v>
      </c>
      <c r="P28" s="58">
        <f t="shared" si="40"/>
        <v>5794004.1599999992</v>
      </c>
      <c r="Q28" s="58">
        <f t="shared" si="40"/>
        <v>7047060.8569862628</v>
      </c>
      <c r="R28" s="58">
        <f t="shared" si="40"/>
        <v>5908458.371674574</v>
      </c>
      <c r="S28" s="58">
        <f t="shared" si="40"/>
        <v>6680784.4445912428</v>
      </c>
      <c r="T28" s="58">
        <f t="shared" si="40"/>
        <v>7496096.9445912447</v>
      </c>
      <c r="U28" s="58">
        <f t="shared" si="40"/>
        <v>8357638.6112579079</v>
      </c>
      <c r="V28" s="58">
        <f t="shared" si="40"/>
        <v>9078793.9199999999</v>
      </c>
      <c r="W28" s="58">
        <f t="shared" si="40"/>
        <v>9078793.9199999999</v>
      </c>
      <c r="X28" s="58">
        <f t="shared" si="40"/>
        <v>9078793.9199999999</v>
      </c>
      <c r="Y28" s="58">
        <f t="shared" si="40"/>
        <v>9078793.9199999999</v>
      </c>
      <c r="Z28" s="58">
        <f t="shared" si="40"/>
        <v>9078793.9199999999</v>
      </c>
      <c r="AA28" s="58">
        <f t="shared" si="40"/>
        <v>9078793.9199999999</v>
      </c>
    </row>
    <row r="29" spans="2:27" x14ac:dyDescent="0.3">
      <c r="B29" s="77" t="s">
        <v>23</v>
      </c>
      <c r="C29" s="75"/>
      <c r="D29" s="75"/>
      <c r="E29" s="75"/>
      <c r="F29" s="75"/>
      <c r="G29" s="61"/>
      <c r="H29" s="61"/>
      <c r="I29" s="61"/>
      <c r="J29" s="61"/>
      <c r="K29" s="61"/>
      <c r="L29" s="61"/>
      <c r="M29" s="61"/>
      <c r="N29" s="61"/>
      <c r="O29" s="61"/>
      <c r="P29" s="61"/>
      <c r="Q29" s="61"/>
      <c r="R29" s="61"/>
      <c r="S29" s="61"/>
      <c r="T29" s="61"/>
      <c r="U29" s="61"/>
      <c r="V29" s="61"/>
      <c r="W29" s="61"/>
      <c r="X29" s="61"/>
      <c r="Y29" s="61"/>
      <c r="Z29" s="61"/>
      <c r="AA29" s="61"/>
    </row>
    <row r="30" spans="2:27" x14ac:dyDescent="0.3">
      <c r="B30" s="76" t="s">
        <v>239</v>
      </c>
      <c r="C30" s="390">
        <v>2019</v>
      </c>
      <c r="D30" s="182">
        <v>136.4</v>
      </c>
      <c r="E30" s="59">
        <v>0.7</v>
      </c>
      <c r="F30" s="59">
        <f>+'GHG-ER'!J29</f>
        <v>0.38170767905185599</v>
      </c>
      <c r="G30" s="49"/>
      <c r="H30" s="49"/>
      <c r="I30" s="49"/>
      <c r="J30" s="49"/>
      <c r="K30" s="49"/>
      <c r="L30" s="49"/>
      <c r="M30" s="49"/>
      <c r="N30" s="49"/>
      <c r="O30" s="49"/>
      <c r="P30" s="49">
        <f>+$D30*8760*$E30</f>
        <v>836404.79999999993</v>
      </c>
      <c r="Q30" s="408"/>
      <c r="R30" s="408"/>
      <c r="S30" s="408"/>
      <c r="T30" s="49"/>
      <c r="U30" s="408">
        <v>115249.49125790887</v>
      </c>
      <c r="V30" s="49">
        <f t="shared" ref="T30:AA32" si="41">+$D30*8760*$E30</f>
        <v>836404.79999999993</v>
      </c>
      <c r="W30" s="49">
        <f t="shared" si="41"/>
        <v>836404.79999999993</v>
      </c>
      <c r="X30" s="49">
        <f t="shared" si="41"/>
        <v>836404.79999999993</v>
      </c>
      <c r="Y30" s="49">
        <f t="shared" si="41"/>
        <v>836404.79999999993</v>
      </c>
      <c r="Z30" s="49">
        <f t="shared" si="41"/>
        <v>836404.79999999993</v>
      </c>
      <c r="AA30" s="49">
        <f t="shared" si="41"/>
        <v>836404.79999999993</v>
      </c>
    </row>
    <row r="31" spans="2:27" x14ac:dyDescent="0.3">
      <c r="B31" s="76" t="s">
        <v>240</v>
      </c>
      <c r="C31" s="390">
        <v>2019</v>
      </c>
      <c r="D31" s="182">
        <v>136.4</v>
      </c>
      <c r="E31" s="59">
        <v>0.7</v>
      </c>
      <c r="F31" s="59">
        <f>+'GHG-ER'!J30</f>
        <v>0.38170767905185599</v>
      </c>
      <c r="G31" s="49"/>
      <c r="H31" s="49"/>
      <c r="I31" s="49"/>
      <c r="J31" s="49"/>
      <c r="K31" s="49"/>
      <c r="L31" s="49"/>
      <c r="M31" s="49"/>
      <c r="N31" s="49"/>
      <c r="O31" s="49"/>
      <c r="P31" s="49">
        <f>+$D31*8760*$E31</f>
        <v>836404.79999999993</v>
      </c>
      <c r="Q31" s="408"/>
      <c r="R31" s="408"/>
      <c r="S31" s="408"/>
      <c r="T31" s="408">
        <v>90112.624591245432</v>
      </c>
      <c r="U31" s="49">
        <f t="shared" si="41"/>
        <v>836404.79999999993</v>
      </c>
      <c r="V31" s="49">
        <f t="shared" si="41"/>
        <v>836404.79999999993</v>
      </c>
      <c r="W31" s="49">
        <f t="shared" si="41"/>
        <v>836404.79999999993</v>
      </c>
      <c r="X31" s="49">
        <f t="shared" si="41"/>
        <v>836404.79999999993</v>
      </c>
      <c r="Y31" s="49">
        <f t="shared" si="41"/>
        <v>836404.79999999993</v>
      </c>
      <c r="Z31" s="49">
        <f t="shared" si="41"/>
        <v>836404.79999999993</v>
      </c>
      <c r="AA31" s="49">
        <f t="shared" si="41"/>
        <v>836404.79999999993</v>
      </c>
    </row>
    <row r="32" spans="2:27" x14ac:dyDescent="0.3">
      <c r="B32" s="76" t="s">
        <v>241</v>
      </c>
      <c r="C32" s="390">
        <v>2019</v>
      </c>
      <c r="D32" s="182">
        <v>136.4</v>
      </c>
      <c r="E32" s="59">
        <v>0.7</v>
      </c>
      <c r="F32" s="59">
        <f>+'GHG-ER'!J31</f>
        <v>0.38170767905185599</v>
      </c>
      <c r="G32" s="49"/>
      <c r="H32" s="49"/>
      <c r="I32" s="49"/>
      <c r="J32" s="49"/>
      <c r="K32" s="49"/>
      <c r="L32" s="49"/>
      <c r="M32" s="49"/>
      <c r="N32" s="49"/>
      <c r="O32" s="49"/>
      <c r="P32" s="49">
        <f>+$D32*8760*$E32</f>
        <v>836404.79999999993</v>
      </c>
      <c r="Q32" s="408">
        <v>477481.3369862634</v>
      </c>
      <c r="R32" s="408"/>
      <c r="S32" s="408">
        <v>111204.92459124431</v>
      </c>
      <c r="T32" s="49">
        <f t="shared" si="41"/>
        <v>836404.79999999993</v>
      </c>
      <c r="U32" s="49">
        <f t="shared" si="41"/>
        <v>836404.79999999993</v>
      </c>
      <c r="V32" s="49">
        <f t="shared" si="41"/>
        <v>836404.79999999993</v>
      </c>
      <c r="W32" s="49">
        <f t="shared" si="41"/>
        <v>836404.79999999993</v>
      </c>
      <c r="X32" s="49">
        <f t="shared" si="41"/>
        <v>836404.79999999993</v>
      </c>
      <c r="Y32" s="49">
        <f t="shared" si="41"/>
        <v>836404.79999999993</v>
      </c>
      <c r="Z32" s="49">
        <f t="shared" si="41"/>
        <v>836404.79999999993</v>
      </c>
      <c r="AA32" s="49">
        <f t="shared" si="41"/>
        <v>836404.79999999993</v>
      </c>
    </row>
    <row r="33" spans="2:27" x14ac:dyDescent="0.3">
      <c r="B33" s="77" t="s">
        <v>24</v>
      </c>
      <c r="C33" s="75"/>
      <c r="D33" s="75"/>
      <c r="E33" s="75"/>
      <c r="F33" s="75"/>
      <c r="G33" s="61"/>
      <c r="H33" s="61"/>
      <c r="I33" s="61"/>
      <c r="J33" s="61"/>
      <c r="K33" s="61"/>
      <c r="L33" s="61"/>
      <c r="M33" s="61"/>
      <c r="N33" s="61"/>
      <c r="O33" s="61"/>
      <c r="P33" s="61"/>
      <c r="Q33" s="61"/>
      <c r="R33" s="61"/>
      <c r="S33" s="61"/>
      <c r="T33" s="61"/>
      <c r="U33" s="61"/>
      <c r="V33" s="61"/>
      <c r="W33" s="61"/>
      <c r="X33" s="61"/>
      <c r="Y33" s="61"/>
      <c r="Z33" s="61"/>
      <c r="AA33" s="61"/>
    </row>
    <row r="34" spans="2:27" x14ac:dyDescent="0.3">
      <c r="B34" s="76" t="s">
        <v>451</v>
      </c>
      <c r="C34" s="390">
        <v>2020</v>
      </c>
      <c r="D34" s="182">
        <v>132.69</v>
      </c>
      <c r="E34" s="59">
        <v>0.7</v>
      </c>
      <c r="F34" s="59">
        <f>+F36</f>
        <v>0.38170767905185599</v>
      </c>
      <c r="G34" s="49"/>
      <c r="H34" s="49"/>
      <c r="I34" s="49"/>
      <c r="J34" s="49"/>
      <c r="K34" s="49"/>
      <c r="L34" s="49"/>
      <c r="M34" s="49"/>
      <c r="N34" s="49"/>
      <c r="O34" s="49"/>
      <c r="P34" s="49"/>
      <c r="Q34" s="49">
        <f>+$D34*8760*$E34</f>
        <v>813655.07999999984</v>
      </c>
      <c r="R34" s="408">
        <v>152533.9316745752</v>
      </c>
      <c r="S34" s="49">
        <f t="shared" ref="R34:AA35" si="42">+$D34*8760*$E34</f>
        <v>813655.07999999984</v>
      </c>
      <c r="T34" s="49">
        <f t="shared" si="42"/>
        <v>813655.07999999984</v>
      </c>
      <c r="U34" s="49">
        <f t="shared" si="42"/>
        <v>813655.07999999984</v>
      </c>
      <c r="V34" s="49">
        <f t="shared" si="42"/>
        <v>813655.07999999984</v>
      </c>
      <c r="W34" s="49">
        <f t="shared" si="42"/>
        <v>813655.07999999984</v>
      </c>
      <c r="X34" s="49">
        <f t="shared" si="42"/>
        <v>813655.07999999984</v>
      </c>
      <c r="Y34" s="49">
        <f t="shared" si="42"/>
        <v>813655.07999999984</v>
      </c>
      <c r="Z34" s="49">
        <f t="shared" si="42"/>
        <v>813655.07999999984</v>
      </c>
      <c r="AA34" s="49">
        <f t="shared" si="42"/>
        <v>813655.07999999984</v>
      </c>
    </row>
    <row r="35" spans="2:27" x14ac:dyDescent="0.3">
      <c r="B35" s="76" t="s">
        <v>450</v>
      </c>
      <c r="C35" s="390">
        <v>2020</v>
      </c>
      <c r="D35" s="182">
        <v>132.69</v>
      </c>
      <c r="E35" s="59">
        <v>0.7</v>
      </c>
      <c r="F35" s="59">
        <f>+F36</f>
        <v>0.38170767905185599</v>
      </c>
      <c r="G35" s="49"/>
      <c r="H35" s="49"/>
      <c r="I35" s="49"/>
      <c r="J35" s="49"/>
      <c r="K35" s="49"/>
      <c r="L35" s="49"/>
      <c r="M35" s="49"/>
      <c r="N35" s="49"/>
      <c r="O35" s="49"/>
      <c r="P35" s="49"/>
      <c r="Q35" s="49">
        <f>+$D35*8760*$E35</f>
        <v>813655.07999999984</v>
      </c>
      <c r="R35" s="49">
        <f t="shared" si="42"/>
        <v>813655.07999999984</v>
      </c>
      <c r="S35" s="49">
        <f t="shared" si="42"/>
        <v>813655.07999999984</v>
      </c>
      <c r="T35" s="49">
        <f t="shared" si="42"/>
        <v>813655.07999999984</v>
      </c>
      <c r="U35" s="49">
        <f t="shared" si="42"/>
        <v>813655.07999999984</v>
      </c>
      <c r="V35" s="49">
        <f t="shared" si="42"/>
        <v>813655.07999999984</v>
      </c>
      <c r="W35" s="49">
        <f t="shared" si="42"/>
        <v>813655.07999999984</v>
      </c>
      <c r="X35" s="49">
        <f t="shared" si="42"/>
        <v>813655.07999999984</v>
      </c>
      <c r="Y35" s="49">
        <f t="shared" si="42"/>
        <v>813655.07999999984</v>
      </c>
      <c r="Z35" s="49">
        <f t="shared" si="42"/>
        <v>813655.07999999984</v>
      </c>
      <c r="AA35" s="49">
        <f t="shared" si="42"/>
        <v>813655.07999999984</v>
      </c>
    </row>
    <row r="36" spans="2:27" x14ac:dyDescent="0.3">
      <c r="B36" s="76" t="s">
        <v>235</v>
      </c>
      <c r="C36" s="390">
        <v>2019</v>
      </c>
      <c r="D36" s="182">
        <v>132.69</v>
      </c>
      <c r="E36" s="59">
        <v>0.7</v>
      </c>
      <c r="F36" s="59">
        <f>+'GHG-ER'!J25</f>
        <v>0.38170767905185599</v>
      </c>
      <c r="G36" s="49"/>
      <c r="H36" s="49"/>
      <c r="I36" s="49"/>
      <c r="J36" s="49"/>
      <c r="K36" s="49"/>
      <c r="L36" s="49"/>
      <c r="M36" s="49"/>
      <c r="N36" s="49"/>
      <c r="O36" s="49"/>
      <c r="P36" s="49">
        <f>+$D36*8760*$E36</f>
        <v>813655.07999999984</v>
      </c>
      <c r="Q36" s="49">
        <f t="shared" ref="Q36:AA42" si="43">+$D36*8760*$E36</f>
        <v>813655.07999999984</v>
      </c>
      <c r="R36" s="49">
        <f t="shared" si="43"/>
        <v>813655.07999999984</v>
      </c>
      <c r="S36" s="49">
        <f t="shared" si="43"/>
        <v>813655.07999999984</v>
      </c>
      <c r="T36" s="49">
        <f t="shared" si="43"/>
        <v>813655.07999999984</v>
      </c>
      <c r="U36" s="49">
        <f t="shared" si="43"/>
        <v>813655.07999999984</v>
      </c>
      <c r="V36" s="49">
        <f t="shared" si="43"/>
        <v>813655.07999999984</v>
      </c>
      <c r="W36" s="49">
        <f t="shared" si="43"/>
        <v>813655.07999999984</v>
      </c>
      <c r="X36" s="49">
        <f t="shared" si="43"/>
        <v>813655.07999999984</v>
      </c>
      <c r="Y36" s="49">
        <f t="shared" si="43"/>
        <v>813655.07999999984</v>
      </c>
      <c r="Z36" s="49">
        <f t="shared" si="43"/>
        <v>813655.07999999984</v>
      </c>
      <c r="AA36" s="49">
        <f t="shared" si="43"/>
        <v>813655.07999999984</v>
      </c>
    </row>
    <row r="37" spans="2:27" x14ac:dyDescent="0.3">
      <c r="B37" s="76" t="s">
        <v>236</v>
      </c>
      <c r="C37" s="390">
        <v>2019</v>
      </c>
      <c r="D37" s="182">
        <v>132.69</v>
      </c>
      <c r="E37" s="59">
        <v>0.7</v>
      </c>
      <c r="F37" s="59">
        <f>+'GHG-ER'!J26</f>
        <v>0.38170767905185599</v>
      </c>
      <c r="G37" s="49"/>
      <c r="H37" s="49"/>
      <c r="I37" s="49"/>
      <c r="J37" s="49"/>
      <c r="K37" s="49"/>
      <c r="L37" s="49"/>
      <c r="M37" s="49"/>
      <c r="N37" s="49"/>
      <c r="O37" s="49"/>
      <c r="P37" s="49">
        <f>+$D37*8760*$E37</f>
        <v>813655.07999999984</v>
      </c>
      <c r="Q37" s="49">
        <f t="shared" si="43"/>
        <v>813655.07999999984</v>
      </c>
      <c r="R37" s="49">
        <f t="shared" si="43"/>
        <v>813655.07999999984</v>
      </c>
      <c r="S37" s="49">
        <f t="shared" si="43"/>
        <v>813655.07999999984</v>
      </c>
      <c r="T37" s="49">
        <f t="shared" si="43"/>
        <v>813655.07999999984</v>
      </c>
      <c r="U37" s="49">
        <f t="shared" si="43"/>
        <v>813655.07999999984</v>
      </c>
      <c r="V37" s="49">
        <f t="shared" si="43"/>
        <v>813655.07999999984</v>
      </c>
      <c r="W37" s="49">
        <f t="shared" si="43"/>
        <v>813655.07999999984</v>
      </c>
      <c r="X37" s="49">
        <f t="shared" si="43"/>
        <v>813655.07999999984</v>
      </c>
      <c r="Y37" s="49">
        <f t="shared" si="43"/>
        <v>813655.07999999984</v>
      </c>
      <c r="Z37" s="49">
        <f t="shared" si="43"/>
        <v>813655.07999999984</v>
      </c>
      <c r="AA37" s="49">
        <f t="shared" si="43"/>
        <v>813655.07999999984</v>
      </c>
    </row>
    <row r="38" spans="2:27" x14ac:dyDescent="0.3">
      <c r="B38" s="77" t="s">
        <v>25</v>
      </c>
      <c r="C38" s="75"/>
      <c r="D38" s="75"/>
      <c r="E38" s="75"/>
      <c r="F38" s="75"/>
      <c r="G38" s="61"/>
      <c r="H38" s="61"/>
      <c r="I38" s="61"/>
      <c r="J38" s="61"/>
      <c r="K38" s="61"/>
      <c r="L38" s="61"/>
      <c r="M38" s="61"/>
      <c r="N38" s="61"/>
      <c r="O38" s="61"/>
      <c r="P38" s="61"/>
      <c r="Q38" s="61"/>
      <c r="R38" s="61"/>
      <c r="S38" s="61"/>
      <c r="T38" s="61"/>
      <c r="U38" s="61"/>
      <c r="V38" s="61"/>
      <c r="W38" s="61"/>
      <c r="X38" s="61"/>
      <c r="Y38" s="61"/>
      <c r="Z38" s="61"/>
      <c r="AA38" s="61"/>
    </row>
    <row r="39" spans="2:27" x14ac:dyDescent="0.3">
      <c r="B39" s="76" t="s">
        <v>449</v>
      </c>
      <c r="C39" s="390">
        <v>2020</v>
      </c>
      <c r="D39" s="182">
        <v>135.15</v>
      </c>
      <c r="E39" s="59">
        <v>0.7</v>
      </c>
      <c r="F39" s="59">
        <f>+F41</f>
        <v>0.38170767905185599</v>
      </c>
      <c r="G39" s="49"/>
      <c r="H39" s="49"/>
      <c r="I39" s="49"/>
      <c r="J39" s="49"/>
      <c r="K39" s="49"/>
      <c r="L39" s="49"/>
      <c r="M39" s="49"/>
      <c r="N39" s="49"/>
      <c r="O39" s="49"/>
      <c r="P39" s="49"/>
      <c r="Q39" s="49">
        <f>+$D39*8760*$E39</f>
        <v>828739.79999999993</v>
      </c>
      <c r="R39" s="49">
        <f t="shared" ref="R39:AA39" si="44">+$D39*8760*$E39</f>
        <v>828739.79999999993</v>
      </c>
      <c r="S39" s="49">
        <f t="shared" si="44"/>
        <v>828739.79999999993</v>
      </c>
      <c r="T39" s="49">
        <f t="shared" si="44"/>
        <v>828739.79999999993</v>
      </c>
      <c r="U39" s="49">
        <f t="shared" si="44"/>
        <v>828739.79999999993</v>
      </c>
      <c r="V39" s="49">
        <f t="shared" si="44"/>
        <v>828739.79999999993</v>
      </c>
      <c r="W39" s="49">
        <f t="shared" si="44"/>
        <v>828739.79999999993</v>
      </c>
      <c r="X39" s="49">
        <f t="shared" si="44"/>
        <v>828739.79999999993</v>
      </c>
      <c r="Y39" s="49">
        <f t="shared" si="44"/>
        <v>828739.79999999993</v>
      </c>
      <c r="Z39" s="49">
        <f t="shared" si="44"/>
        <v>828739.79999999993</v>
      </c>
      <c r="AA39" s="49">
        <f t="shared" si="44"/>
        <v>828739.79999999993</v>
      </c>
    </row>
    <row r="40" spans="2:27" x14ac:dyDescent="0.3">
      <c r="B40" s="76" t="s">
        <v>448</v>
      </c>
      <c r="C40" s="390">
        <v>2020</v>
      </c>
      <c r="D40" s="182">
        <v>135.15</v>
      </c>
      <c r="E40" s="59">
        <v>0.7</v>
      </c>
      <c r="F40" s="59">
        <f>+F41</f>
        <v>0.38170767905185599</v>
      </c>
      <c r="G40" s="49"/>
      <c r="H40" s="49"/>
      <c r="I40" s="49"/>
      <c r="J40" s="49"/>
      <c r="K40" s="49"/>
      <c r="L40" s="49"/>
      <c r="M40" s="49"/>
      <c r="N40" s="49"/>
      <c r="O40" s="49"/>
      <c r="P40" s="49"/>
      <c r="Q40" s="49">
        <f t="shared" si="43"/>
        <v>828739.79999999993</v>
      </c>
      <c r="R40" s="49">
        <f t="shared" si="43"/>
        <v>828739.79999999993</v>
      </c>
      <c r="S40" s="49">
        <f t="shared" si="43"/>
        <v>828739.79999999993</v>
      </c>
      <c r="T40" s="49">
        <f t="shared" si="43"/>
        <v>828739.79999999993</v>
      </c>
      <c r="U40" s="49">
        <f t="shared" si="43"/>
        <v>828739.79999999993</v>
      </c>
      <c r="V40" s="49">
        <f t="shared" si="43"/>
        <v>828739.79999999993</v>
      </c>
      <c r="W40" s="49">
        <f t="shared" si="43"/>
        <v>828739.79999999993</v>
      </c>
      <c r="X40" s="49">
        <f t="shared" si="43"/>
        <v>828739.79999999993</v>
      </c>
      <c r="Y40" s="49">
        <f t="shared" si="43"/>
        <v>828739.79999999993</v>
      </c>
      <c r="Z40" s="49">
        <f t="shared" si="43"/>
        <v>828739.79999999993</v>
      </c>
      <c r="AA40" s="49">
        <f t="shared" si="43"/>
        <v>828739.79999999993</v>
      </c>
    </row>
    <row r="41" spans="2:27" x14ac:dyDescent="0.3">
      <c r="B41" s="76" t="s">
        <v>237</v>
      </c>
      <c r="C41" s="390">
        <v>2019</v>
      </c>
      <c r="D41" s="182">
        <v>135.15</v>
      </c>
      <c r="E41" s="59">
        <v>0.7</v>
      </c>
      <c r="F41" s="59">
        <f>+'GHG-ER'!J27</f>
        <v>0.38170767905185599</v>
      </c>
      <c r="G41" s="49"/>
      <c r="H41" s="49"/>
      <c r="I41" s="49"/>
      <c r="J41" s="49"/>
      <c r="K41" s="49"/>
      <c r="L41" s="49"/>
      <c r="M41" s="49"/>
      <c r="N41" s="49"/>
      <c r="O41" s="49"/>
      <c r="P41" s="49">
        <f>+$D41*8760*$E41</f>
        <v>828739.79999999993</v>
      </c>
      <c r="Q41" s="49">
        <f t="shared" si="43"/>
        <v>828739.79999999993</v>
      </c>
      <c r="R41" s="49">
        <f t="shared" si="43"/>
        <v>828739.79999999993</v>
      </c>
      <c r="S41" s="49">
        <f t="shared" si="43"/>
        <v>828739.79999999993</v>
      </c>
      <c r="T41" s="49">
        <f t="shared" si="43"/>
        <v>828739.79999999993</v>
      </c>
      <c r="U41" s="49">
        <f t="shared" si="43"/>
        <v>828739.79999999993</v>
      </c>
      <c r="V41" s="49">
        <f t="shared" si="43"/>
        <v>828739.79999999993</v>
      </c>
      <c r="W41" s="49">
        <f t="shared" si="43"/>
        <v>828739.79999999993</v>
      </c>
      <c r="X41" s="49">
        <f t="shared" si="43"/>
        <v>828739.79999999993</v>
      </c>
      <c r="Y41" s="49">
        <f t="shared" si="43"/>
        <v>828739.79999999993</v>
      </c>
      <c r="Z41" s="49">
        <f t="shared" si="43"/>
        <v>828739.79999999993</v>
      </c>
      <c r="AA41" s="49">
        <f t="shared" si="43"/>
        <v>828739.79999999993</v>
      </c>
    </row>
    <row r="42" spans="2:27" x14ac:dyDescent="0.3">
      <c r="B42" s="76" t="s">
        <v>238</v>
      </c>
      <c r="C42" s="390">
        <v>2019</v>
      </c>
      <c r="D42" s="182">
        <v>135.15</v>
      </c>
      <c r="E42" s="59">
        <v>0.7</v>
      </c>
      <c r="F42" s="59">
        <f>+'GHG-ER'!J28</f>
        <v>0.38170767905185599</v>
      </c>
      <c r="G42" s="49"/>
      <c r="H42" s="49"/>
      <c r="I42" s="49"/>
      <c r="J42" s="49"/>
      <c r="K42" s="49"/>
      <c r="L42" s="49"/>
      <c r="M42" s="49"/>
      <c r="N42" s="49"/>
      <c r="O42" s="49"/>
      <c r="P42" s="49">
        <f>+$D42*8760*$E42</f>
        <v>828739.79999999993</v>
      </c>
      <c r="Q42" s="49">
        <f t="shared" si="43"/>
        <v>828739.79999999993</v>
      </c>
      <c r="R42" s="49">
        <f t="shared" si="43"/>
        <v>828739.79999999993</v>
      </c>
      <c r="S42" s="49">
        <f t="shared" si="43"/>
        <v>828739.79999999993</v>
      </c>
      <c r="T42" s="49">
        <f t="shared" si="43"/>
        <v>828739.79999999993</v>
      </c>
      <c r="U42" s="49">
        <f t="shared" si="43"/>
        <v>828739.79999999993</v>
      </c>
      <c r="V42" s="49">
        <f t="shared" si="43"/>
        <v>828739.79999999993</v>
      </c>
      <c r="W42" s="49">
        <f t="shared" si="43"/>
        <v>828739.79999999993</v>
      </c>
      <c r="X42" s="49">
        <f t="shared" si="43"/>
        <v>828739.79999999993</v>
      </c>
      <c r="Y42" s="49">
        <f t="shared" si="43"/>
        <v>828739.79999999993</v>
      </c>
      <c r="Z42" s="49">
        <f t="shared" si="43"/>
        <v>828739.79999999993</v>
      </c>
      <c r="AA42" s="49">
        <f t="shared" si="43"/>
        <v>828739.79999999993</v>
      </c>
    </row>
    <row r="43" spans="2:27" x14ac:dyDescent="0.3">
      <c r="B43" s="13"/>
      <c r="C43" s="13"/>
      <c r="D43" s="13"/>
      <c r="E43" s="13"/>
      <c r="F43" s="13"/>
      <c r="G43" s="41"/>
      <c r="H43" s="41"/>
      <c r="I43" s="41"/>
      <c r="J43" s="41"/>
      <c r="K43" s="41"/>
      <c r="L43" s="41"/>
      <c r="M43" s="41"/>
      <c r="N43" s="41"/>
      <c r="O43" s="41"/>
      <c r="P43" s="41"/>
      <c r="Q43" s="41"/>
      <c r="R43" s="41"/>
      <c r="S43" s="41"/>
      <c r="T43" s="41"/>
      <c r="U43" s="41"/>
      <c r="V43" s="41"/>
      <c r="W43" s="41"/>
      <c r="X43" s="41"/>
      <c r="Y43" s="41"/>
      <c r="Z43" s="41"/>
      <c r="AA43" s="41"/>
    </row>
    <row r="44" spans="2:27" ht="28.8" x14ac:dyDescent="0.3">
      <c r="B44" s="84" t="s">
        <v>164</v>
      </c>
      <c r="C44" s="80" t="s">
        <v>279</v>
      </c>
      <c r="D44" s="389" t="s">
        <v>397</v>
      </c>
      <c r="E44" s="388" t="s">
        <v>247</v>
      </c>
      <c r="F44" s="388"/>
      <c r="G44" s="79" t="s">
        <v>197</v>
      </c>
      <c r="H44" s="79" t="s">
        <v>197</v>
      </c>
      <c r="I44" s="79" t="s">
        <v>197</v>
      </c>
      <c r="J44" s="79" t="s">
        <v>197</v>
      </c>
      <c r="K44" s="79" t="s">
        <v>197</v>
      </c>
      <c r="L44" s="79" t="s">
        <v>197</v>
      </c>
      <c r="M44" s="79" t="s">
        <v>197</v>
      </c>
      <c r="N44" s="79" t="s">
        <v>197</v>
      </c>
      <c r="O44" s="79" t="s">
        <v>197</v>
      </c>
      <c r="P44" s="79" t="s">
        <v>197</v>
      </c>
      <c r="Q44" s="79" t="s">
        <v>197</v>
      </c>
      <c r="R44" s="79" t="s">
        <v>197</v>
      </c>
      <c r="S44" s="79" t="s">
        <v>197</v>
      </c>
      <c r="T44" s="79" t="s">
        <v>197</v>
      </c>
      <c r="U44" s="79" t="s">
        <v>197</v>
      </c>
      <c r="V44" s="79" t="s">
        <v>197</v>
      </c>
      <c r="W44" s="79" t="s">
        <v>197</v>
      </c>
      <c r="X44" s="79" t="s">
        <v>197</v>
      </c>
      <c r="Y44" s="79" t="s">
        <v>197</v>
      </c>
      <c r="Z44" s="79" t="s">
        <v>197</v>
      </c>
      <c r="AA44" s="79" t="s">
        <v>197</v>
      </c>
    </row>
    <row r="45" spans="2:27" x14ac:dyDescent="0.3">
      <c r="B45" s="82" t="s">
        <v>0</v>
      </c>
      <c r="C45" s="82"/>
      <c r="D45" s="82"/>
      <c r="E45" s="82"/>
      <c r="F45" s="82"/>
      <c r="G45" s="83"/>
      <c r="H45" s="83"/>
      <c r="I45" s="83"/>
      <c r="J45" s="83"/>
      <c r="K45" s="83"/>
      <c r="L45" s="83"/>
      <c r="M45" s="83"/>
      <c r="N45" s="83"/>
      <c r="O45" s="83">
        <f>SUM(O47:O68)</f>
        <v>240900</v>
      </c>
      <c r="P45" s="83">
        <f t="shared" ref="P45:AA45" si="45">SUM(P47:P68)</f>
        <v>543120</v>
      </c>
      <c r="Q45" s="83">
        <f t="shared" si="45"/>
        <v>543120</v>
      </c>
      <c r="R45" s="83">
        <f t="shared" si="45"/>
        <v>2707716</v>
      </c>
      <c r="S45" s="83">
        <f t="shared" si="45"/>
        <v>2707716</v>
      </c>
      <c r="T45" s="83">
        <f t="shared" si="45"/>
        <v>2707716</v>
      </c>
      <c r="U45" s="83">
        <f t="shared" si="45"/>
        <v>2707716</v>
      </c>
      <c r="V45" s="83">
        <f t="shared" si="45"/>
        <v>2707716</v>
      </c>
      <c r="W45" s="83">
        <f t="shared" si="45"/>
        <v>2707716</v>
      </c>
      <c r="X45" s="83">
        <f t="shared" si="45"/>
        <v>2707716</v>
      </c>
      <c r="Y45" s="83">
        <f t="shared" si="45"/>
        <v>2707716</v>
      </c>
      <c r="Z45" s="83">
        <f>SUM(Z47:Z68)</f>
        <v>3802716</v>
      </c>
      <c r="AA45" s="83">
        <f t="shared" si="45"/>
        <v>4196916</v>
      </c>
    </row>
    <row r="46" spans="2:27" x14ac:dyDescent="0.3">
      <c r="B46" s="57" t="s">
        <v>41</v>
      </c>
      <c r="C46" s="57"/>
      <c r="D46" s="57"/>
      <c r="E46" s="57"/>
      <c r="F46" s="57"/>
      <c r="G46" s="78"/>
      <c r="H46" s="78"/>
      <c r="I46" s="78"/>
      <c r="J46" s="78"/>
      <c r="K46" s="78"/>
      <c r="L46" s="78"/>
      <c r="M46" s="78"/>
      <c r="N46" s="78"/>
      <c r="O46" s="78"/>
      <c r="P46" s="78"/>
      <c r="Q46" s="78"/>
      <c r="R46" s="78"/>
      <c r="S46" s="78"/>
      <c r="T46" s="78"/>
      <c r="U46" s="78"/>
      <c r="V46" s="78"/>
      <c r="W46" s="78"/>
      <c r="X46" s="78"/>
      <c r="Y46" s="78"/>
      <c r="Z46" s="78"/>
      <c r="AA46" s="78"/>
    </row>
    <row r="47" spans="2:27" x14ac:dyDescent="0.3">
      <c r="B47" s="47" t="s">
        <v>407</v>
      </c>
      <c r="C47" s="110">
        <v>2018</v>
      </c>
      <c r="D47" s="110">
        <v>55</v>
      </c>
      <c r="E47" s="110">
        <v>0.5</v>
      </c>
      <c r="F47" s="110"/>
      <c r="G47" s="49"/>
      <c r="H47" s="49"/>
      <c r="I47" s="49"/>
      <c r="J47" s="49"/>
      <c r="K47" s="49"/>
      <c r="L47" s="49"/>
      <c r="M47" s="49"/>
      <c r="N47" s="49"/>
      <c r="O47" s="49">
        <f>+$D47*8760*$E47</f>
        <v>240900</v>
      </c>
      <c r="P47" s="49">
        <f t="shared" ref="P47:AA47" si="46">+$D47*8760*$E47</f>
        <v>240900</v>
      </c>
      <c r="Q47" s="49">
        <f t="shared" si="46"/>
        <v>240900</v>
      </c>
      <c r="R47" s="49">
        <f t="shared" si="46"/>
        <v>240900</v>
      </c>
      <c r="S47" s="49">
        <f t="shared" si="46"/>
        <v>240900</v>
      </c>
      <c r="T47" s="49">
        <f t="shared" si="46"/>
        <v>240900</v>
      </c>
      <c r="U47" s="49">
        <f t="shared" si="46"/>
        <v>240900</v>
      </c>
      <c r="V47" s="49">
        <f t="shared" si="46"/>
        <v>240900</v>
      </c>
      <c r="W47" s="49">
        <f t="shared" si="46"/>
        <v>240900</v>
      </c>
      <c r="X47" s="49">
        <f t="shared" si="46"/>
        <v>240900</v>
      </c>
      <c r="Y47" s="49">
        <f t="shared" si="46"/>
        <v>240900</v>
      </c>
      <c r="Z47" s="49">
        <f t="shared" si="46"/>
        <v>240900</v>
      </c>
      <c r="AA47" s="49">
        <f t="shared" si="46"/>
        <v>240900</v>
      </c>
    </row>
    <row r="48" spans="2:27" x14ac:dyDescent="0.3">
      <c r="B48" s="47" t="s">
        <v>408</v>
      </c>
      <c r="C48" s="110">
        <v>2019</v>
      </c>
      <c r="D48" s="110">
        <v>69</v>
      </c>
      <c r="E48" s="110">
        <v>0.5</v>
      </c>
      <c r="F48" s="110"/>
      <c r="G48" s="49"/>
      <c r="H48" s="49"/>
      <c r="I48" s="49"/>
      <c r="J48" s="49"/>
      <c r="K48" s="49"/>
      <c r="L48" s="49"/>
      <c r="M48" s="49"/>
      <c r="N48" s="49"/>
      <c r="O48" s="49"/>
      <c r="P48" s="49">
        <f t="shared" ref="P48:AA48" si="47">+$D48*8760*$E48</f>
        <v>302220</v>
      </c>
      <c r="Q48" s="49">
        <f t="shared" si="47"/>
        <v>302220</v>
      </c>
      <c r="R48" s="49">
        <f t="shared" si="47"/>
        <v>302220</v>
      </c>
      <c r="S48" s="49">
        <f t="shared" si="47"/>
        <v>302220</v>
      </c>
      <c r="T48" s="49">
        <f t="shared" si="47"/>
        <v>302220</v>
      </c>
      <c r="U48" s="49">
        <f t="shared" si="47"/>
        <v>302220</v>
      </c>
      <c r="V48" s="49">
        <f t="shared" si="47"/>
        <v>302220</v>
      </c>
      <c r="W48" s="49">
        <f t="shared" si="47"/>
        <v>302220</v>
      </c>
      <c r="X48" s="49">
        <f t="shared" si="47"/>
        <v>302220</v>
      </c>
      <c r="Y48" s="49">
        <f t="shared" si="47"/>
        <v>302220</v>
      </c>
      <c r="Z48" s="49">
        <f t="shared" si="47"/>
        <v>302220</v>
      </c>
      <c r="AA48" s="49">
        <f t="shared" si="47"/>
        <v>302220</v>
      </c>
    </row>
    <row r="49" spans="2:27" x14ac:dyDescent="0.3">
      <c r="B49" s="57" t="s">
        <v>61</v>
      </c>
      <c r="C49" s="57"/>
      <c r="D49" s="57"/>
      <c r="E49" s="57"/>
      <c r="F49" s="57"/>
      <c r="G49" s="78"/>
      <c r="H49" s="78"/>
      <c r="I49" s="78"/>
      <c r="J49" s="78"/>
      <c r="K49" s="78"/>
      <c r="L49" s="78"/>
      <c r="M49" s="78"/>
      <c r="N49" s="78"/>
      <c r="O49" s="78"/>
      <c r="P49" s="78"/>
      <c r="Q49" s="78"/>
      <c r="R49" s="78"/>
      <c r="S49" s="78"/>
      <c r="T49" s="78"/>
      <c r="U49" s="78"/>
      <c r="V49" s="78"/>
      <c r="W49" s="78"/>
      <c r="X49" s="78"/>
      <c r="Y49" s="78"/>
      <c r="Z49" s="78"/>
      <c r="AA49" s="78"/>
    </row>
    <row r="50" spans="2:27" x14ac:dyDescent="0.3">
      <c r="B50" s="47" t="s">
        <v>61</v>
      </c>
      <c r="C50" s="110">
        <v>2021</v>
      </c>
      <c r="D50" s="110">
        <v>198.6</v>
      </c>
      <c r="E50" s="110">
        <v>0.5</v>
      </c>
      <c r="F50" s="110"/>
      <c r="G50" s="49"/>
      <c r="H50" s="49"/>
      <c r="I50" s="49"/>
      <c r="J50" s="49"/>
      <c r="K50" s="49"/>
      <c r="L50" s="49"/>
      <c r="M50" s="49"/>
      <c r="N50" s="49"/>
      <c r="O50" s="49"/>
      <c r="P50" s="49"/>
      <c r="Q50" s="49"/>
      <c r="R50" s="49">
        <f t="shared" ref="R50:AA56" si="48">+$D50*8760*$E50</f>
        <v>869868</v>
      </c>
      <c r="S50" s="49">
        <f t="shared" si="48"/>
        <v>869868</v>
      </c>
      <c r="T50" s="49">
        <f t="shared" si="48"/>
        <v>869868</v>
      </c>
      <c r="U50" s="49">
        <f t="shared" si="48"/>
        <v>869868</v>
      </c>
      <c r="V50" s="49">
        <f t="shared" si="48"/>
        <v>869868</v>
      </c>
      <c r="W50" s="49">
        <f t="shared" si="48"/>
        <v>869868</v>
      </c>
      <c r="X50" s="49">
        <f t="shared" si="48"/>
        <v>869868</v>
      </c>
      <c r="Y50" s="49">
        <f t="shared" si="48"/>
        <v>869868</v>
      </c>
      <c r="Z50" s="49">
        <f t="shared" si="48"/>
        <v>869868</v>
      </c>
      <c r="AA50" s="49">
        <f t="shared" si="48"/>
        <v>869868</v>
      </c>
    </row>
    <row r="51" spans="2:27" x14ac:dyDescent="0.3">
      <c r="B51" s="57" t="s">
        <v>62</v>
      </c>
      <c r="C51" s="57"/>
      <c r="D51" s="57"/>
      <c r="E51" s="57"/>
      <c r="F51" s="57"/>
      <c r="G51" s="78"/>
      <c r="H51" s="78"/>
      <c r="I51" s="78"/>
      <c r="J51" s="78"/>
      <c r="K51" s="78"/>
      <c r="L51" s="78"/>
      <c r="M51" s="78"/>
      <c r="N51" s="78"/>
      <c r="O51" s="78"/>
      <c r="P51" s="78"/>
      <c r="Q51" s="78"/>
      <c r="R51" s="78"/>
      <c r="S51" s="78"/>
      <c r="T51" s="78"/>
      <c r="U51" s="78"/>
      <c r="V51" s="78"/>
      <c r="W51" s="78"/>
      <c r="X51" s="78"/>
      <c r="Y51" s="78"/>
      <c r="Z51" s="78"/>
      <c r="AA51" s="78"/>
    </row>
    <row r="52" spans="2:27" x14ac:dyDescent="0.3">
      <c r="B52" s="47" t="s">
        <v>62</v>
      </c>
      <c r="C52" s="110">
        <v>2021</v>
      </c>
      <c r="D52" s="110">
        <v>91.6</v>
      </c>
      <c r="E52" s="110">
        <v>0.5</v>
      </c>
      <c r="F52" s="110"/>
      <c r="G52" s="49"/>
      <c r="H52" s="49"/>
      <c r="I52" s="49"/>
      <c r="J52" s="49"/>
      <c r="K52" s="49"/>
      <c r="L52" s="49"/>
      <c r="M52" s="49"/>
      <c r="N52" s="49"/>
      <c r="O52" s="49"/>
      <c r="P52" s="49"/>
      <c r="Q52" s="49"/>
      <c r="R52" s="49">
        <f t="shared" si="48"/>
        <v>401208</v>
      </c>
      <c r="S52" s="49">
        <f t="shared" si="48"/>
        <v>401208</v>
      </c>
      <c r="T52" s="49">
        <f t="shared" si="48"/>
        <v>401208</v>
      </c>
      <c r="U52" s="49">
        <f t="shared" si="48"/>
        <v>401208</v>
      </c>
      <c r="V52" s="49">
        <f t="shared" si="48"/>
        <v>401208</v>
      </c>
      <c r="W52" s="49">
        <f t="shared" si="48"/>
        <v>401208</v>
      </c>
      <c r="X52" s="49">
        <f t="shared" si="48"/>
        <v>401208</v>
      </c>
      <c r="Y52" s="49">
        <f t="shared" si="48"/>
        <v>401208</v>
      </c>
      <c r="Z52" s="49">
        <f t="shared" si="48"/>
        <v>401208</v>
      </c>
      <c r="AA52" s="49">
        <f t="shared" si="48"/>
        <v>401208</v>
      </c>
    </row>
    <row r="53" spans="2:27" x14ac:dyDescent="0.3">
      <c r="B53" s="57" t="s">
        <v>63</v>
      </c>
      <c r="C53" s="57"/>
      <c r="D53" s="57"/>
      <c r="E53" s="57"/>
      <c r="F53" s="57"/>
      <c r="G53" s="78"/>
      <c r="H53" s="78"/>
      <c r="I53" s="78"/>
      <c r="J53" s="78"/>
      <c r="K53" s="78"/>
      <c r="L53" s="78"/>
      <c r="M53" s="78"/>
      <c r="N53" s="78"/>
      <c r="O53" s="78"/>
      <c r="P53" s="78"/>
      <c r="Q53" s="78"/>
      <c r="R53" s="78"/>
      <c r="S53" s="78"/>
      <c r="T53" s="78"/>
      <c r="U53" s="78"/>
      <c r="V53" s="78"/>
      <c r="W53" s="78"/>
      <c r="X53" s="78"/>
      <c r="Y53" s="78"/>
      <c r="Z53" s="78"/>
      <c r="AA53" s="78"/>
    </row>
    <row r="54" spans="2:27" x14ac:dyDescent="0.3">
      <c r="B54" s="47" t="s">
        <v>63</v>
      </c>
      <c r="C54" s="110">
        <v>2021</v>
      </c>
      <c r="D54" s="110">
        <v>85.8</v>
      </c>
      <c r="E54" s="110">
        <v>0.5</v>
      </c>
      <c r="F54" s="110"/>
      <c r="G54" s="49"/>
      <c r="H54" s="49"/>
      <c r="I54" s="49"/>
      <c r="J54" s="49"/>
      <c r="K54" s="49"/>
      <c r="L54" s="49"/>
      <c r="M54" s="49"/>
      <c r="N54" s="49"/>
      <c r="O54" s="49"/>
      <c r="P54" s="49"/>
      <c r="Q54" s="49"/>
      <c r="R54" s="49">
        <f t="shared" si="48"/>
        <v>375804</v>
      </c>
      <c r="S54" s="49">
        <f t="shared" si="48"/>
        <v>375804</v>
      </c>
      <c r="T54" s="49">
        <f t="shared" si="48"/>
        <v>375804</v>
      </c>
      <c r="U54" s="49">
        <f t="shared" si="48"/>
        <v>375804</v>
      </c>
      <c r="V54" s="49">
        <f t="shared" si="48"/>
        <v>375804</v>
      </c>
      <c r="W54" s="49">
        <f t="shared" si="48"/>
        <v>375804</v>
      </c>
      <c r="X54" s="49">
        <f t="shared" si="48"/>
        <v>375804</v>
      </c>
      <c r="Y54" s="49">
        <f t="shared" si="48"/>
        <v>375804</v>
      </c>
      <c r="Z54" s="49">
        <f t="shared" si="48"/>
        <v>375804</v>
      </c>
      <c r="AA54" s="49">
        <f t="shared" si="48"/>
        <v>375804</v>
      </c>
    </row>
    <row r="55" spans="2:27" x14ac:dyDescent="0.3">
      <c r="B55" s="57" t="s">
        <v>64</v>
      </c>
      <c r="C55" s="57"/>
      <c r="D55" s="57"/>
      <c r="E55" s="57"/>
      <c r="F55" s="57"/>
      <c r="G55" s="78"/>
      <c r="H55" s="78"/>
      <c r="I55" s="78"/>
      <c r="J55" s="78"/>
      <c r="K55" s="78"/>
      <c r="L55" s="78"/>
      <c r="M55" s="78"/>
      <c r="N55" s="78"/>
      <c r="O55" s="78"/>
      <c r="P55" s="78"/>
      <c r="Q55" s="78"/>
      <c r="R55" s="78"/>
      <c r="S55" s="78"/>
      <c r="T55" s="78"/>
      <c r="U55" s="78"/>
      <c r="V55" s="78"/>
      <c r="W55" s="78"/>
      <c r="X55" s="78"/>
      <c r="Y55" s="78"/>
      <c r="Z55" s="78"/>
      <c r="AA55" s="78"/>
    </row>
    <row r="56" spans="2:27" x14ac:dyDescent="0.3">
      <c r="B56" s="47" t="s">
        <v>64</v>
      </c>
      <c r="C56" s="110">
        <v>2021</v>
      </c>
      <c r="D56" s="110">
        <v>118.2</v>
      </c>
      <c r="E56" s="110">
        <v>0.5</v>
      </c>
      <c r="F56" s="110"/>
      <c r="G56" s="49"/>
      <c r="H56" s="49"/>
      <c r="I56" s="49"/>
      <c r="J56" s="49"/>
      <c r="K56" s="49"/>
      <c r="L56" s="49"/>
      <c r="M56" s="49"/>
      <c r="N56" s="49"/>
      <c r="O56" s="49"/>
      <c r="P56" s="49"/>
      <c r="Q56" s="49"/>
      <c r="R56" s="49">
        <f>+$D56*8760*$E56</f>
        <v>517716</v>
      </c>
      <c r="S56" s="49">
        <f t="shared" si="48"/>
        <v>517716</v>
      </c>
      <c r="T56" s="49">
        <f t="shared" si="48"/>
        <v>517716</v>
      </c>
      <c r="U56" s="49">
        <f t="shared" si="48"/>
        <v>517716</v>
      </c>
      <c r="V56" s="49">
        <f t="shared" si="48"/>
        <v>517716</v>
      </c>
      <c r="W56" s="49">
        <f t="shared" si="48"/>
        <v>517716</v>
      </c>
      <c r="X56" s="49">
        <f t="shared" si="48"/>
        <v>517716</v>
      </c>
      <c r="Y56" s="49">
        <f t="shared" si="48"/>
        <v>517716</v>
      </c>
      <c r="Z56" s="49">
        <f t="shared" si="48"/>
        <v>517716</v>
      </c>
      <c r="AA56" s="49">
        <f t="shared" si="48"/>
        <v>517716</v>
      </c>
    </row>
    <row r="57" spans="2:27" x14ac:dyDescent="0.3">
      <c r="B57" s="57" t="s">
        <v>412</v>
      </c>
      <c r="C57" s="57"/>
      <c r="D57" s="57"/>
      <c r="E57" s="57"/>
      <c r="F57" s="57"/>
      <c r="G57" s="78"/>
      <c r="H57" s="78"/>
      <c r="I57" s="78"/>
      <c r="J57" s="78"/>
      <c r="K57" s="78"/>
      <c r="L57" s="78"/>
      <c r="M57" s="78"/>
      <c r="N57" s="78"/>
      <c r="O57" s="78"/>
      <c r="P57" s="78"/>
      <c r="Q57" s="78"/>
      <c r="R57" s="78"/>
      <c r="S57" s="78"/>
      <c r="T57" s="78"/>
      <c r="U57" s="78"/>
      <c r="V57" s="78"/>
      <c r="W57" s="78"/>
      <c r="X57" s="78"/>
      <c r="Y57" s="78"/>
      <c r="Z57" s="78"/>
      <c r="AA57" s="78"/>
    </row>
    <row r="58" spans="2:27" x14ac:dyDescent="0.3">
      <c r="B58" s="47" t="s">
        <v>416</v>
      </c>
      <c r="C58" s="110">
        <v>2029</v>
      </c>
      <c r="D58" s="110">
        <v>250</v>
      </c>
      <c r="E58" s="110">
        <v>0.5</v>
      </c>
      <c r="F58" s="110"/>
      <c r="G58" s="49"/>
      <c r="H58" s="49"/>
      <c r="I58" s="49"/>
      <c r="J58" s="49"/>
      <c r="K58" s="49"/>
      <c r="L58" s="49"/>
      <c r="M58" s="49"/>
      <c r="N58" s="49"/>
      <c r="O58" s="49"/>
      <c r="P58" s="49"/>
      <c r="Q58" s="49"/>
      <c r="R58" s="49"/>
      <c r="S58" s="49"/>
      <c r="T58" s="49"/>
      <c r="U58" s="49"/>
      <c r="V58" s="49"/>
      <c r="W58" s="49"/>
      <c r="X58" s="49"/>
      <c r="Y58" s="49"/>
      <c r="Z58" s="49">
        <f>$D$58*8760*$E$58</f>
        <v>1095000</v>
      </c>
      <c r="AA58" s="49">
        <f>$D$58*8760*$E$58</f>
        <v>1095000</v>
      </c>
    </row>
    <row r="59" spans="2:27" x14ac:dyDescent="0.3">
      <c r="B59" s="57" t="s">
        <v>413</v>
      </c>
      <c r="C59" s="57"/>
      <c r="D59" s="57"/>
      <c r="E59" s="57"/>
      <c r="F59" s="57"/>
      <c r="G59" s="78"/>
      <c r="H59" s="78"/>
      <c r="I59" s="78"/>
      <c r="J59" s="78"/>
      <c r="K59" s="78"/>
      <c r="L59" s="78"/>
      <c r="M59" s="78"/>
      <c r="N59" s="78"/>
      <c r="O59" s="78"/>
      <c r="P59" s="78"/>
      <c r="Q59" s="78"/>
      <c r="R59" s="78"/>
      <c r="S59" s="78"/>
      <c r="T59" s="78"/>
      <c r="U59" s="78"/>
      <c r="V59" s="78"/>
      <c r="W59" s="78"/>
      <c r="X59" s="78"/>
      <c r="Y59" s="78"/>
      <c r="Z59" s="78"/>
      <c r="AA59" s="78"/>
    </row>
    <row r="60" spans="2:27" x14ac:dyDescent="0.3">
      <c r="B60" s="47" t="s">
        <v>414</v>
      </c>
      <c r="C60" s="110">
        <v>2030</v>
      </c>
      <c r="D60" s="110">
        <v>90</v>
      </c>
      <c r="E60" s="110">
        <v>0.5</v>
      </c>
      <c r="F60" s="110"/>
      <c r="G60" s="49"/>
      <c r="H60" s="49"/>
      <c r="I60" s="49"/>
      <c r="J60" s="49"/>
      <c r="K60" s="49"/>
      <c r="L60" s="49"/>
      <c r="M60" s="49"/>
      <c r="N60" s="49"/>
      <c r="O60" s="49"/>
      <c r="P60" s="49"/>
      <c r="Q60" s="49"/>
      <c r="R60" s="49"/>
      <c r="S60" s="49"/>
      <c r="T60" s="49"/>
      <c r="U60" s="49"/>
      <c r="V60" s="49"/>
      <c r="W60" s="49"/>
      <c r="X60" s="49"/>
      <c r="Y60" s="49"/>
      <c r="Z60" s="49"/>
      <c r="AA60" s="49">
        <f>$D$60*8760*$E$60</f>
        <v>394200</v>
      </c>
    </row>
    <row r="61" spans="2:27" x14ac:dyDescent="0.3">
      <c r="B61" s="57" t="s">
        <v>415</v>
      </c>
      <c r="C61" s="57"/>
      <c r="D61" s="57"/>
      <c r="E61" s="57"/>
      <c r="F61" s="57"/>
      <c r="G61" s="78"/>
      <c r="H61" s="78"/>
      <c r="I61" s="78"/>
      <c r="J61" s="78"/>
      <c r="K61" s="78"/>
      <c r="L61" s="78"/>
      <c r="M61" s="78"/>
      <c r="N61" s="78"/>
      <c r="O61" s="78"/>
      <c r="P61" s="78"/>
      <c r="Q61" s="78"/>
      <c r="R61" s="78"/>
      <c r="S61" s="78"/>
      <c r="T61" s="78"/>
      <c r="U61" s="78"/>
      <c r="V61" s="78"/>
      <c r="W61" s="78"/>
      <c r="X61" s="78"/>
      <c r="Y61" s="78"/>
      <c r="Z61" s="78"/>
      <c r="AA61" s="78"/>
    </row>
    <row r="62" spans="2:27" x14ac:dyDescent="0.3">
      <c r="B62" s="47" t="s">
        <v>417</v>
      </c>
      <c r="C62" s="110"/>
      <c r="D62" s="110"/>
      <c r="E62" s="110"/>
      <c r="F62" s="110"/>
      <c r="G62" s="49"/>
      <c r="H62" s="49"/>
      <c r="I62" s="49"/>
      <c r="J62" s="49"/>
      <c r="K62" s="49"/>
      <c r="L62" s="49"/>
      <c r="M62" s="49"/>
      <c r="N62" s="49"/>
      <c r="O62" s="49"/>
      <c r="P62" s="49"/>
      <c r="Q62" s="49"/>
      <c r="R62" s="49"/>
      <c r="S62" s="49"/>
      <c r="T62" s="49"/>
      <c r="U62" s="49"/>
      <c r="V62" s="49"/>
      <c r="W62" s="49"/>
      <c r="X62" s="49"/>
      <c r="Y62" s="49"/>
      <c r="Z62" s="49"/>
      <c r="AA62" s="49"/>
    </row>
    <row r="63" spans="2:27" x14ac:dyDescent="0.3">
      <c r="B63" s="57" t="s">
        <v>434</v>
      </c>
      <c r="C63" s="57"/>
      <c r="D63" s="57"/>
      <c r="E63" s="57"/>
      <c r="F63" s="57"/>
      <c r="G63" s="78"/>
      <c r="H63" s="78"/>
      <c r="I63" s="78"/>
      <c r="J63" s="78"/>
      <c r="K63" s="78"/>
      <c r="L63" s="78"/>
      <c r="M63" s="78"/>
      <c r="N63" s="78"/>
      <c r="O63" s="78"/>
      <c r="P63" s="78"/>
      <c r="Q63" s="78"/>
      <c r="R63" s="78"/>
      <c r="S63" s="78"/>
      <c r="T63" s="78"/>
      <c r="U63" s="78"/>
      <c r="V63" s="78"/>
      <c r="W63" s="78"/>
      <c r="X63" s="78"/>
      <c r="Y63" s="78"/>
      <c r="Z63" s="78"/>
      <c r="AA63" s="78"/>
    </row>
    <row r="64" spans="2:27" x14ac:dyDescent="0.3">
      <c r="B64" s="47" t="s">
        <v>435</v>
      </c>
      <c r="C64" s="110"/>
      <c r="D64" s="110"/>
      <c r="E64" s="110"/>
      <c r="F64" s="110"/>
      <c r="G64" s="49"/>
      <c r="H64" s="49"/>
      <c r="I64" s="49"/>
      <c r="J64" s="49"/>
      <c r="K64" s="49"/>
      <c r="L64" s="49"/>
      <c r="M64" s="49"/>
      <c r="N64" s="49"/>
      <c r="O64" s="49"/>
      <c r="P64" s="49"/>
      <c r="Q64" s="49"/>
      <c r="R64" s="49"/>
      <c r="S64" s="49"/>
      <c r="T64" s="49"/>
      <c r="U64" s="49"/>
      <c r="V64" s="49"/>
      <c r="W64" s="49"/>
      <c r="X64" s="49"/>
      <c r="Y64" s="49"/>
      <c r="Z64" s="49"/>
      <c r="AA64" s="49"/>
    </row>
    <row r="65" spans="2:27" x14ac:dyDescent="0.3">
      <c r="B65" s="57" t="s">
        <v>436</v>
      </c>
      <c r="C65" s="57"/>
      <c r="D65" s="57"/>
      <c r="E65" s="57"/>
      <c r="F65" s="57"/>
      <c r="G65" s="78"/>
      <c r="H65" s="78"/>
      <c r="I65" s="78"/>
      <c r="J65" s="78"/>
      <c r="K65" s="78"/>
      <c r="L65" s="78"/>
      <c r="M65" s="78"/>
      <c r="N65" s="78"/>
      <c r="O65" s="78"/>
      <c r="P65" s="78"/>
      <c r="Q65" s="78"/>
      <c r="R65" s="78"/>
      <c r="S65" s="78"/>
      <c r="T65" s="78"/>
      <c r="U65" s="78"/>
      <c r="V65" s="78"/>
      <c r="W65" s="78"/>
      <c r="X65" s="78"/>
      <c r="Y65" s="78"/>
      <c r="Z65" s="78"/>
      <c r="AA65" s="78"/>
    </row>
    <row r="66" spans="2:27" x14ac:dyDescent="0.3">
      <c r="B66" s="47" t="s">
        <v>437</v>
      </c>
      <c r="C66" s="110"/>
      <c r="D66" s="110"/>
      <c r="E66" s="110"/>
      <c r="F66" s="110"/>
      <c r="G66" s="49"/>
      <c r="H66" s="49"/>
      <c r="I66" s="49"/>
      <c r="J66" s="49"/>
      <c r="K66" s="49"/>
      <c r="L66" s="49"/>
      <c r="M66" s="49"/>
      <c r="N66" s="49"/>
      <c r="O66" s="49"/>
      <c r="P66" s="49"/>
      <c r="Q66" s="49"/>
      <c r="R66" s="49"/>
      <c r="S66" s="49"/>
      <c r="T66" s="49"/>
      <c r="U66" s="49"/>
      <c r="V66" s="49"/>
      <c r="W66" s="49"/>
      <c r="X66" s="49"/>
      <c r="Y66" s="49"/>
      <c r="Z66" s="49"/>
      <c r="AA66" s="49"/>
    </row>
    <row r="67" spans="2:27" x14ac:dyDescent="0.3">
      <c r="B67" s="57" t="s">
        <v>438</v>
      </c>
      <c r="C67" s="57"/>
      <c r="D67" s="57"/>
      <c r="E67" s="57"/>
      <c r="F67" s="57"/>
      <c r="G67" s="78"/>
      <c r="H67" s="78"/>
      <c r="I67" s="78"/>
      <c r="J67" s="78"/>
      <c r="K67" s="78"/>
      <c r="L67" s="78"/>
      <c r="M67" s="78"/>
      <c r="N67" s="78"/>
      <c r="O67" s="78"/>
      <c r="P67" s="78"/>
      <c r="Q67" s="78"/>
      <c r="R67" s="78"/>
      <c r="S67" s="78"/>
      <c r="T67" s="78"/>
      <c r="U67" s="78"/>
      <c r="V67" s="78"/>
      <c r="W67" s="78"/>
      <c r="X67" s="78"/>
      <c r="Y67" s="78"/>
      <c r="Z67" s="78"/>
      <c r="AA67" s="78"/>
    </row>
    <row r="68" spans="2:27" x14ac:dyDescent="0.3">
      <c r="B68" s="47" t="s">
        <v>439</v>
      </c>
      <c r="C68" s="110"/>
      <c r="D68" s="110"/>
      <c r="E68" s="110"/>
      <c r="F68" s="110"/>
      <c r="G68" s="49"/>
      <c r="H68" s="49"/>
      <c r="I68" s="49"/>
      <c r="J68" s="49"/>
      <c r="K68" s="49"/>
      <c r="L68" s="49"/>
      <c r="M68" s="49"/>
      <c r="N68" s="49"/>
      <c r="O68" s="49"/>
      <c r="P68" s="49"/>
      <c r="Q68" s="49"/>
      <c r="R68" s="49"/>
      <c r="S68" s="49"/>
      <c r="T68" s="49"/>
      <c r="U68" s="49"/>
      <c r="V68" s="49"/>
      <c r="W68" s="49"/>
      <c r="X68" s="49"/>
      <c r="Y68" s="49"/>
      <c r="Z68" s="49"/>
      <c r="AA68" s="49"/>
    </row>
    <row r="69" spans="2:27" x14ac:dyDescent="0.3">
      <c r="B69" s="113"/>
      <c r="C69" s="28"/>
      <c r="D69" s="28"/>
      <c r="E69" s="28"/>
      <c r="F69" s="28"/>
      <c r="G69" s="30"/>
      <c r="H69" s="30"/>
      <c r="I69" s="30"/>
      <c r="J69" s="30"/>
      <c r="K69" s="30"/>
      <c r="L69" s="30"/>
      <c r="M69" s="30"/>
      <c r="N69" s="30"/>
      <c r="O69" s="30"/>
      <c r="P69" s="30"/>
      <c r="Q69" s="30"/>
      <c r="R69" s="30"/>
      <c r="S69" s="30"/>
      <c r="T69" s="30"/>
      <c r="U69" s="30"/>
      <c r="V69" s="30"/>
      <c r="W69" s="30"/>
      <c r="X69" s="30"/>
      <c r="Y69" s="30"/>
      <c r="Z69" s="30"/>
      <c r="AA69" s="30"/>
    </row>
    <row r="70" spans="2:27" x14ac:dyDescent="0.3">
      <c r="B70" s="13"/>
      <c r="C70" s="13"/>
      <c r="D70" s="13"/>
      <c r="E70" s="13"/>
      <c r="F70" s="13"/>
      <c r="G70" s="41"/>
      <c r="H70" s="41"/>
      <c r="I70" s="41"/>
      <c r="J70" s="41"/>
      <c r="K70" s="41"/>
      <c r="L70" s="41"/>
      <c r="M70" s="41"/>
      <c r="N70" s="41"/>
      <c r="O70" s="41"/>
      <c r="P70" s="41"/>
      <c r="Q70" s="41"/>
      <c r="R70" s="41"/>
      <c r="S70" s="41"/>
      <c r="T70" s="41"/>
      <c r="U70" s="41"/>
      <c r="V70" s="41"/>
      <c r="W70" s="41"/>
      <c r="X70" s="41"/>
      <c r="Y70" s="41"/>
      <c r="Z70" s="41"/>
      <c r="AA70" s="41"/>
    </row>
    <row r="71" spans="2:27" ht="28.8" x14ac:dyDescent="0.3">
      <c r="B71" s="84" t="s">
        <v>164</v>
      </c>
      <c r="C71" s="80" t="s">
        <v>279</v>
      </c>
      <c r="D71" s="389" t="s">
        <v>397</v>
      </c>
      <c r="E71" s="388" t="s">
        <v>247</v>
      </c>
      <c r="F71" s="388"/>
      <c r="G71" s="79" t="s">
        <v>197</v>
      </c>
      <c r="H71" s="79" t="s">
        <v>197</v>
      </c>
      <c r="I71" s="79" t="s">
        <v>197</v>
      </c>
      <c r="J71" s="79" t="s">
        <v>197</v>
      </c>
      <c r="K71" s="79" t="s">
        <v>197</v>
      </c>
      <c r="L71" s="79" t="s">
        <v>197</v>
      </c>
      <c r="M71" s="79" t="s">
        <v>197</v>
      </c>
      <c r="N71" s="79" t="s">
        <v>197</v>
      </c>
      <c r="O71" s="79" t="s">
        <v>197</v>
      </c>
      <c r="P71" s="79" t="s">
        <v>197</v>
      </c>
      <c r="Q71" s="79" t="s">
        <v>197</v>
      </c>
      <c r="R71" s="79" t="s">
        <v>197</v>
      </c>
      <c r="S71" s="79" t="s">
        <v>197</v>
      </c>
      <c r="T71" s="79" t="s">
        <v>197</v>
      </c>
      <c r="U71" s="79" t="s">
        <v>197</v>
      </c>
      <c r="V71" s="79" t="s">
        <v>197</v>
      </c>
      <c r="W71" s="79" t="s">
        <v>197</v>
      </c>
      <c r="X71" s="79" t="s">
        <v>197</v>
      </c>
      <c r="Y71" s="79" t="s">
        <v>197</v>
      </c>
      <c r="Z71" s="79" t="s">
        <v>197</v>
      </c>
      <c r="AA71" s="79" t="s">
        <v>197</v>
      </c>
    </row>
    <row r="72" spans="2:27" x14ac:dyDescent="0.3">
      <c r="B72" s="7" t="s">
        <v>8</v>
      </c>
      <c r="C72" s="11"/>
      <c r="D72" s="11"/>
      <c r="E72" s="11"/>
      <c r="F72" s="11"/>
      <c r="G72" s="85">
        <f t="shared" ref="G72" si="49">+SUM(G73:G75)</f>
        <v>0</v>
      </c>
      <c r="H72" s="85">
        <f t="shared" ref="H72" si="50">+SUM(H73:H75)</f>
        <v>0</v>
      </c>
      <c r="I72" s="85">
        <f t="shared" ref="I72" si="51">+SUM(I73:I75)</f>
        <v>0</v>
      </c>
      <c r="J72" s="85">
        <f t="shared" ref="J72" si="52">+SUM(J73:J75)</f>
        <v>0</v>
      </c>
      <c r="K72" s="85">
        <f t="shared" ref="K72" si="53">+SUM(K73:K75)</f>
        <v>0</v>
      </c>
      <c r="L72" s="85">
        <f t="shared" ref="L72" si="54">+SUM(L73:L75)</f>
        <v>0</v>
      </c>
      <c r="M72" s="85">
        <f t="shared" ref="M72" si="55">+SUM(M73:M75)</f>
        <v>0</v>
      </c>
      <c r="N72" s="85">
        <f>+SUM(N73:N75)</f>
        <v>0</v>
      </c>
      <c r="O72" s="85">
        <f>+SUM(O73:O87)</f>
        <v>0</v>
      </c>
      <c r="P72" s="85">
        <f t="shared" ref="P72:AA72" si="56">+SUM(P73:P87)</f>
        <v>0</v>
      </c>
      <c r="Q72" s="85">
        <f t="shared" si="56"/>
        <v>331128</v>
      </c>
      <c r="R72" s="85">
        <f t="shared" si="56"/>
        <v>469098</v>
      </c>
      <c r="S72" s="85">
        <f t="shared" si="56"/>
        <v>469098</v>
      </c>
      <c r="T72" s="85">
        <f t="shared" si="56"/>
        <v>469098</v>
      </c>
      <c r="U72" s="85">
        <f t="shared" si="56"/>
        <v>469098</v>
      </c>
      <c r="V72" s="85">
        <f t="shared" si="56"/>
        <v>469098</v>
      </c>
      <c r="W72" s="85">
        <f t="shared" si="56"/>
        <v>469098</v>
      </c>
      <c r="X72" s="85">
        <f t="shared" si="56"/>
        <v>469098</v>
      </c>
      <c r="Y72" s="85">
        <f t="shared" si="56"/>
        <v>469098</v>
      </c>
      <c r="Z72" s="85">
        <f t="shared" si="56"/>
        <v>469098</v>
      </c>
      <c r="AA72" s="85">
        <f t="shared" si="56"/>
        <v>469098</v>
      </c>
    </row>
    <row r="73" spans="2:27" x14ac:dyDescent="0.3">
      <c r="B73" s="57" t="s">
        <v>49</v>
      </c>
      <c r="C73" s="57"/>
      <c r="D73" s="57"/>
      <c r="E73" s="57"/>
      <c r="F73" s="57"/>
      <c r="G73" s="78"/>
      <c r="H73" s="78"/>
      <c r="I73" s="78"/>
      <c r="J73" s="78"/>
      <c r="K73" s="78"/>
      <c r="L73" s="78"/>
      <c r="M73" s="78"/>
      <c r="N73" s="78"/>
      <c r="O73" s="78"/>
      <c r="P73" s="78"/>
      <c r="Q73" s="78"/>
      <c r="R73" s="78"/>
      <c r="S73" s="78"/>
      <c r="T73" s="78"/>
      <c r="U73" s="78"/>
      <c r="V73" s="78"/>
      <c r="W73" s="78"/>
      <c r="X73" s="78"/>
      <c r="Y73" s="78"/>
      <c r="Z73" s="78"/>
      <c r="AA73" s="78"/>
    </row>
    <row r="74" spans="2:27" x14ac:dyDescent="0.3">
      <c r="B74" s="47" t="s">
        <v>49</v>
      </c>
      <c r="C74" s="390">
        <v>2020</v>
      </c>
      <c r="D74" s="391">
        <v>54</v>
      </c>
      <c r="E74" s="110">
        <v>0.35</v>
      </c>
      <c r="F74" s="110"/>
      <c r="G74" s="47"/>
      <c r="H74" s="47"/>
      <c r="I74" s="47"/>
      <c r="J74" s="49"/>
      <c r="K74" s="49"/>
      <c r="L74" s="49"/>
      <c r="M74" s="49"/>
      <c r="N74" s="49"/>
      <c r="O74" s="49"/>
      <c r="P74" s="49"/>
      <c r="Q74" s="49">
        <f>+$D74*8760*$E74</f>
        <v>165564</v>
      </c>
      <c r="R74" s="49">
        <f t="shared" ref="R74:AA78" si="57">+$D74*8760*$E74</f>
        <v>165564</v>
      </c>
      <c r="S74" s="49">
        <f t="shared" si="57"/>
        <v>165564</v>
      </c>
      <c r="T74" s="49">
        <f t="shared" si="57"/>
        <v>165564</v>
      </c>
      <c r="U74" s="49">
        <f t="shared" si="57"/>
        <v>165564</v>
      </c>
      <c r="V74" s="49">
        <f t="shared" si="57"/>
        <v>165564</v>
      </c>
      <c r="W74" s="49">
        <f t="shared" si="57"/>
        <v>165564</v>
      </c>
      <c r="X74" s="49">
        <f t="shared" si="57"/>
        <v>165564</v>
      </c>
      <c r="Y74" s="49">
        <f t="shared" si="57"/>
        <v>165564</v>
      </c>
      <c r="Z74" s="49">
        <f t="shared" si="57"/>
        <v>165564</v>
      </c>
      <c r="AA74" s="49">
        <f t="shared" si="57"/>
        <v>165564</v>
      </c>
    </row>
    <row r="75" spans="2:27" x14ac:dyDescent="0.3">
      <c r="B75" s="57" t="s">
        <v>53</v>
      </c>
      <c r="C75" s="57"/>
      <c r="D75" s="392"/>
      <c r="E75" s="392"/>
      <c r="F75" s="392"/>
      <c r="G75" s="78"/>
      <c r="H75" s="78"/>
      <c r="I75" s="78"/>
      <c r="J75" s="78"/>
      <c r="K75" s="78"/>
      <c r="L75" s="78"/>
      <c r="M75" s="78"/>
      <c r="N75" s="78"/>
      <c r="O75" s="78"/>
      <c r="P75" s="78"/>
      <c r="Q75" s="78"/>
      <c r="R75" s="78"/>
      <c r="S75" s="78"/>
      <c r="T75" s="78"/>
      <c r="U75" s="78"/>
      <c r="V75" s="78"/>
      <c r="W75" s="78"/>
      <c r="X75" s="78"/>
      <c r="Y75" s="78"/>
      <c r="Z75" s="78"/>
      <c r="AA75" s="78"/>
    </row>
    <row r="76" spans="2:27" x14ac:dyDescent="0.3">
      <c r="B76" s="47" t="s">
        <v>53</v>
      </c>
      <c r="C76" s="390">
        <v>2021</v>
      </c>
      <c r="D76" s="391">
        <v>24</v>
      </c>
      <c r="E76" s="110">
        <v>0.35</v>
      </c>
      <c r="F76" s="110"/>
      <c r="G76" s="47"/>
      <c r="H76" s="47"/>
      <c r="I76" s="47"/>
      <c r="J76" s="49"/>
      <c r="K76" s="49"/>
      <c r="L76" s="49"/>
      <c r="M76" s="49"/>
      <c r="N76" s="49"/>
      <c r="O76" s="49"/>
      <c r="P76" s="49"/>
      <c r="Q76" s="49"/>
      <c r="R76" s="49">
        <f>+$D76*8760*$E76</f>
        <v>73584</v>
      </c>
      <c r="S76" s="49">
        <f t="shared" si="57"/>
        <v>73584</v>
      </c>
      <c r="T76" s="49">
        <f t="shared" si="57"/>
        <v>73584</v>
      </c>
      <c r="U76" s="49">
        <f t="shared" si="57"/>
        <v>73584</v>
      </c>
      <c r="V76" s="49">
        <f t="shared" si="57"/>
        <v>73584</v>
      </c>
      <c r="W76" s="49">
        <f t="shared" si="57"/>
        <v>73584</v>
      </c>
      <c r="X76" s="49">
        <f t="shared" si="57"/>
        <v>73584</v>
      </c>
      <c r="Y76" s="49">
        <f t="shared" si="57"/>
        <v>73584</v>
      </c>
      <c r="Z76" s="49">
        <f t="shared" si="57"/>
        <v>73584</v>
      </c>
      <c r="AA76" s="49">
        <f t="shared" si="57"/>
        <v>73584</v>
      </c>
    </row>
    <row r="77" spans="2:27" x14ac:dyDescent="0.3">
      <c r="B77" s="57" t="s">
        <v>48</v>
      </c>
      <c r="C77" s="57"/>
      <c r="D77" s="392"/>
      <c r="E77" s="392"/>
      <c r="F77" s="392"/>
      <c r="G77" s="78"/>
      <c r="H77" s="78"/>
      <c r="I77" s="78"/>
      <c r="J77" s="78"/>
      <c r="K77" s="78"/>
      <c r="L77" s="78"/>
      <c r="M77" s="78"/>
      <c r="N77" s="78"/>
      <c r="O77" s="78"/>
      <c r="P77" s="78"/>
      <c r="Q77" s="78"/>
      <c r="R77" s="78"/>
      <c r="S77" s="78"/>
      <c r="T77" s="78"/>
      <c r="U77" s="78"/>
      <c r="V77" s="78"/>
      <c r="W77" s="78"/>
      <c r="X77" s="78"/>
      <c r="Y77" s="78"/>
      <c r="Z77" s="78"/>
      <c r="AA77" s="78"/>
    </row>
    <row r="78" spans="2:27" x14ac:dyDescent="0.3">
      <c r="B78" s="47" t="s">
        <v>48</v>
      </c>
      <c r="C78" s="390">
        <v>2020</v>
      </c>
      <c r="D78" s="391">
        <v>39.6</v>
      </c>
      <c r="E78" s="110">
        <v>0.35</v>
      </c>
      <c r="F78" s="110"/>
      <c r="G78" s="47"/>
      <c r="H78" s="47"/>
      <c r="I78" s="47"/>
      <c r="J78" s="49"/>
      <c r="K78" s="49"/>
      <c r="L78" s="49"/>
      <c r="M78" s="49"/>
      <c r="N78" s="49"/>
      <c r="O78" s="49"/>
      <c r="P78" s="49"/>
      <c r="Q78" s="49">
        <f>+$D78*8760*$E78</f>
        <v>121413.59999999999</v>
      </c>
      <c r="R78" s="49">
        <f t="shared" si="57"/>
        <v>121413.59999999999</v>
      </c>
      <c r="S78" s="49">
        <f t="shared" si="57"/>
        <v>121413.59999999999</v>
      </c>
      <c r="T78" s="49">
        <f t="shared" si="57"/>
        <v>121413.59999999999</v>
      </c>
      <c r="U78" s="49">
        <f t="shared" si="57"/>
        <v>121413.59999999999</v>
      </c>
      <c r="V78" s="49">
        <f t="shared" si="57"/>
        <v>121413.59999999999</v>
      </c>
      <c r="W78" s="49">
        <f t="shared" si="57"/>
        <v>121413.59999999999</v>
      </c>
      <c r="X78" s="49">
        <f t="shared" si="57"/>
        <v>121413.59999999999</v>
      </c>
      <c r="Y78" s="49">
        <f t="shared" si="57"/>
        <v>121413.59999999999</v>
      </c>
      <c r="Z78" s="49">
        <f t="shared" si="57"/>
        <v>121413.59999999999</v>
      </c>
      <c r="AA78" s="49">
        <f t="shared" si="57"/>
        <v>121413.59999999999</v>
      </c>
    </row>
    <row r="79" spans="2:27" x14ac:dyDescent="0.3">
      <c r="B79" s="57" t="s">
        <v>25</v>
      </c>
      <c r="C79" s="57"/>
      <c r="D79" s="57"/>
      <c r="E79" s="57"/>
      <c r="F79" s="57"/>
      <c r="G79" s="78"/>
      <c r="H79" s="78"/>
      <c r="I79" s="78"/>
      <c r="J79" s="78"/>
      <c r="K79" s="78"/>
      <c r="L79" s="78"/>
      <c r="M79" s="78"/>
      <c r="N79" s="78"/>
      <c r="O79" s="78"/>
      <c r="P79" s="78"/>
      <c r="Q79" s="78"/>
      <c r="R79" s="78"/>
      <c r="S79" s="78"/>
      <c r="T79" s="78"/>
      <c r="U79" s="78"/>
      <c r="V79" s="78"/>
      <c r="W79" s="78"/>
      <c r="X79" s="78"/>
      <c r="Y79" s="78"/>
      <c r="Z79" s="78"/>
      <c r="AA79" s="78"/>
    </row>
    <row r="80" spans="2:27" x14ac:dyDescent="0.3">
      <c r="B80" s="47" t="s">
        <v>58</v>
      </c>
      <c r="C80" s="110">
        <v>2020</v>
      </c>
      <c r="D80" s="110">
        <v>14.4</v>
      </c>
      <c r="E80" s="110">
        <v>0.35</v>
      </c>
      <c r="F80" s="110"/>
      <c r="G80" s="49"/>
      <c r="H80" s="49"/>
      <c r="I80" s="49"/>
      <c r="J80" s="49"/>
      <c r="K80" s="49"/>
      <c r="L80" s="49"/>
      <c r="M80" s="49"/>
      <c r="N80" s="49"/>
      <c r="O80" s="49"/>
      <c r="P80" s="49"/>
      <c r="Q80" s="49">
        <f t="shared" ref="Q80:AA81" si="58">+$D80*8760*$E80</f>
        <v>44150.399999999994</v>
      </c>
      <c r="R80" s="49">
        <f t="shared" si="58"/>
        <v>44150.399999999994</v>
      </c>
      <c r="S80" s="49">
        <f t="shared" si="58"/>
        <v>44150.399999999994</v>
      </c>
      <c r="T80" s="49">
        <f t="shared" si="58"/>
        <v>44150.399999999994</v>
      </c>
      <c r="U80" s="49">
        <f t="shared" si="58"/>
        <v>44150.399999999994</v>
      </c>
      <c r="V80" s="49">
        <f t="shared" si="58"/>
        <v>44150.399999999994</v>
      </c>
      <c r="W80" s="49">
        <f t="shared" si="58"/>
        <v>44150.399999999994</v>
      </c>
      <c r="X80" s="49">
        <f t="shared" si="58"/>
        <v>44150.399999999994</v>
      </c>
      <c r="Y80" s="49">
        <f t="shared" si="58"/>
        <v>44150.399999999994</v>
      </c>
      <c r="Z80" s="49">
        <f t="shared" si="58"/>
        <v>44150.399999999994</v>
      </c>
      <c r="AA80" s="49">
        <f t="shared" si="58"/>
        <v>44150.399999999994</v>
      </c>
    </row>
    <row r="81" spans="2:27" x14ac:dyDescent="0.3">
      <c r="B81" s="47" t="s">
        <v>52</v>
      </c>
      <c r="C81" s="110">
        <v>2021</v>
      </c>
      <c r="D81" s="110">
        <v>21</v>
      </c>
      <c r="E81" s="110">
        <v>0.35</v>
      </c>
      <c r="F81" s="110"/>
      <c r="G81" s="49"/>
      <c r="H81" s="49"/>
      <c r="I81" s="49"/>
      <c r="J81" s="49"/>
      <c r="K81" s="49"/>
      <c r="L81" s="49"/>
      <c r="M81" s="49"/>
      <c r="N81" s="49"/>
      <c r="O81" s="49"/>
      <c r="P81" s="49"/>
      <c r="Q81" s="49"/>
      <c r="R81" s="49">
        <f t="shared" si="58"/>
        <v>64385.999999999993</v>
      </c>
      <c r="S81" s="49">
        <f t="shared" si="58"/>
        <v>64385.999999999993</v>
      </c>
      <c r="T81" s="49">
        <f t="shared" si="58"/>
        <v>64385.999999999993</v>
      </c>
      <c r="U81" s="49">
        <f t="shared" si="58"/>
        <v>64385.999999999993</v>
      </c>
      <c r="V81" s="49">
        <f t="shared" si="58"/>
        <v>64385.999999999993</v>
      </c>
      <c r="W81" s="49">
        <f t="shared" si="58"/>
        <v>64385.999999999993</v>
      </c>
      <c r="X81" s="49">
        <f t="shared" si="58"/>
        <v>64385.999999999993</v>
      </c>
      <c r="Y81" s="49">
        <f t="shared" si="58"/>
        <v>64385.999999999993</v>
      </c>
      <c r="Z81" s="49">
        <f t="shared" si="58"/>
        <v>64385.999999999993</v>
      </c>
      <c r="AA81" s="49">
        <f t="shared" si="58"/>
        <v>64385.999999999993</v>
      </c>
    </row>
    <row r="82" spans="2:27" x14ac:dyDescent="0.3">
      <c r="B82" s="57" t="s">
        <v>418</v>
      </c>
      <c r="C82" s="57"/>
      <c r="D82" s="57"/>
      <c r="E82" s="57"/>
      <c r="F82" s="57"/>
      <c r="G82" s="78"/>
      <c r="H82" s="78"/>
      <c r="I82" s="78"/>
      <c r="J82" s="78"/>
      <c r="K82" s="78"/>
      <c r="L82" s="78"/>
      <c r="M82" s="78"/>
      <c r="N82" s="78"/>
      <c r="O82" s="78"/>
      <c r="P82" s="78"/>
      <c r="Q82" s="78"/>
      <c r="R82" s="78"/>
      <c r="S82" s="78"/>
      <c r="T82" s="78"/>
      <c r="U82" s="78"/>
      <c r="V82" s="78"/>
      <c r="W82" s="78"/>
      <c r="X82" s="78"/>
      <c r="Y82" s="78"/>
      <c r="Z82" s="78"/>
      <c r="AA82" s="78"/>
    </row>
    <row r="83" spans="2:27" x14ac:dyDescent="0.3">
      <c r="B83" s="47" t="s">
        <v>418</v>
      </c>
      <c r="C83" s="110"/>
      <c r="D83" s="391"/>
      <c r="E83" s="110"/>
      <c r="F83" s="110"/>
      <c r="G83" s="49"/>
      <c r="H83" s="49"/>
      <c r="I83" s="49"/>
      <c r="J83" s="49"/>
      <c r="K83" s="49"/>
      <c r="L83" s="49"/>
      <c r="M83" s="49"/>
      <c r="N83" s="49"/>
      <c r="O83" s="49"/>
      <c r="P83" s="49"/>
      <c r="Q83" s="49"/>
      <c r="R83" s="49"/>
      <c r="S83" s="49"/>
      <c r="T83" s="49"/>
      <c r="U83" s="49"/>
      <c r="V83" s="49"/>
      <c r="W83" s="49"/>
      <c r="X83" s="49"/>
      <c r="Y83" s="49"/>
      <c r="Z83" s="49"/>
      <c r="AA83" s="49"/>
    </row>
    <row r="84" spans="2:27" x14ac:dyDescent="0.3">
      <c r="B84" s="57" t="s">
        <v>419</v>
      </c>
      <c r="C84" s="57"/>
      <c r="D84" s="57"/>
      <c r="E84" s="57"/>
      <c r="F84" s="57"/>
      <c r="G84" s="78"/>
      <c r="H84" s="78"/>
      <c r="I84" s="78"/>
      <c r="J84" s="78"/>
      <c r="K84" s="78"/>
      <c r="L84" s="78"/>
      <c r="M84" s="78"/>
      <c r="N84" s="78"/>
      <c r="O84" s="78"/>
      <c r="P84" s="78"/>
      <c r="Q84" s="78"/>
      <c r="R84" s="78"/>
      <c r="S84" s="78"/>
      <c r="T84" s="78"/>
      <c r="U84" s="78"/>
      <c r="V84" s="78"/>
      <c r="W84" s="78"/>
      <c r="X84" s="78"/>
      <c r="Y84" s="78"/>
      <c r="Z84" s="78"/>
      <c r="AA84" s="78"/>
    </row>
    <row r="85" spans="2:27" x14ac:dyDescent="0.3">
      <c r="B85" s="47" t="s">
        <v>419</v>
      </c>
      <c r="C85" s="110"/>
      <c r="D85" s="391"/>
      <c r="E85" s="110"/>
      <c r="F85" s="110"/>
      <c r="G85" s="49"/>
      <c r="H85" s="49"/>
      <c r="I85" s="49"/>
      <c r="J85" s="49"/>
      <c r="K85" s="49"/>
      <c r="L85" s="49"/>
      <c r="M85" s="49"/>
      <c r="N85" s="49"/>
      <c r="O85" s="49"/>
      <c r="P85" s="49"/>
      <c r="Q85" s="49"/>
      <c r="R85" s="49"/>
      <c r="S85" s="49"/>
      <c r="T85" s="49"/>
      <c r="U85" s="49"/>
      <c r="V85" s="49"/>
      <c r="W85" s="49"/>
      <c r="X85" s="49"/>
      <c r="Y85" s="49"/>
      <c r="Z85" s="49"/>
      <c r="AA85" s="49"/>
    </row>
    <row r="86" spans="2:27" x14ac:dyDescent="0.3">
      <c r="B86" s="57" t="s">
        <v>420</v>
      </c>
      <c r="C86" s="57"/>
      <c r="D86" s="57"/>
      <c r="E86" s="57"/>
      <c r="F86" s="57"/>
      <c r="G86" s="78"/>
      <c r="H86" s="78"/>
      <c r="I86" s="78"/>
      <c r="J86" s="78"/>
      <c r="K86" s="78"/>
      <c r="L86" s="78"/>
      <c r="M86" s="78"/>
      <c r="N86" s="78"/>
      <c r="O86" s="78"/>
      <c r="P86" s="78"/>
      <c r="Q86" s="78"/>
      <c r="R86" s="78"/>
      <c r="S86" s="78"/>
      <c r="T86" s="78"/>
      <c r="U86" s="78"/>
      <c r="V86" s="78"/>
      <c r="W86" s="78"/>
      <c r="X86" s="78"/>
      <c r="Y86" s="78"/>
      <c r="Z86" s="78"/>
      <c r="AA86" s="78"/>
    </row>
    <row r="87" spans="2:27" x14ac:dyDescent="0.3">
      <c r="B87" s="47" t="s">
        <v>420</v>
      </c>
      <c r="C87" s="110"/>
      <c r="D87" s="391"/>
      <c r="E87" s="110"/>
      <c r="F87" s="110"/>
      <c r="G87" s="49"/>
      <c r="H87" s="49"/>
      <c r="I87" s="49"/>
      <c r="J87" s="49"/>
      <c r="K87" s="49"/>
      <c r="L87" s="49"/>
      <c r="M87" s="49"/>
      <c r="N87" s="49"/>
      <c r="O87" s="49"/>
      <c r="P87" s="49"/>
      <c r="Q87" s="49"/>
      <c r="R87" s="49"/>
      <c r="S87" s="49"/>
      <c r="T87" s="49"/>
      <c r="U87" s="49"/>
      <c r="V87" s="49"/>
      <c r="W87" s="49"/>
      <c r="X87" s="49"/>
      <c r="Y87" s="49"/>
      <c r="Z87" s="49"/>
      <c r="AA87" s="49"/>
    </row>
    <row r="88" spans="2:27" x14ac:dyDescent="0.3">
      <c r="B88" s="13"/>
      <c r="C88" s="13"/>
      <c r="D88" s="13"/>
      <c r="E88" s="13"/>
      <c r="F88" s="13"/>
      <c r="G88" s="41"/>
      <c r="H88" s="41"/>
      <c r="I88" s="41"/>
      <c r="J88" s="41"/>
      <c r="K88" s="41"/>
      <c r="L88" s="41"/>
      <c r="M88" s="41"/>
      <c r="N88" s="41"/>
      <c r="O88" s="41"/>
      <c r="P88" s="41"/>
      <c r="Q88" s="41"/>
      <c r="R88" s="41"/>
      <c r="S88" s="41"/>
      <c r="T88" s="41"/>
      <c r="U88" s="41"/>
      <c r="V88" s="41"/>
      <c r="W88" s="41"/>
      <c r="X88" s="41"/>
      <c r="Y88" s="41"/>
      <c r="Z88" s="41"/>
      <c r="AA88" s="41"/>
    </row>
    <row r="89" spans="2:27" ht="28.8" x14ac:dyDescent="0.3">
      <c r="B89" s="84" t="s">
        <v>164</v>
      </c>
      <c r="C89" s="80" t="s">
        <v>279</v>
      </c>
      <c r="D89" s="389" t="s">
        <v>397</v>
      </c>
      <c r="E89" s="388" t="s">
        <v>247</v>
      </c>
      <c r="F89" s="388"/>
      <c r="G89" s="79" t="s">
        <v>197</v>
      </c>
      <c r="H89" s="79" t="s">
        <v>197</v>
      </c>
      <c r="I89" s="79" t="s">
        <v>197</v>
      </c>
      <c r="J89" s="79" t="s">
        <v>197</v>
      </c>
      <c r="K89" s="79" t="s">
        <v>197</v>
      </c>
      <c r="L89" s="79" t="s">
        <v>197</v>
      </c>
      <c r="M89" s="79" t="s">
        <v>197</v>
      </c>
      <c r="N89" s="79" t="s">
        <v>197</v>
      </c>
      <c r="O89" s="79" t="s">
        <v>197</v>
      </c>
      <c r="P89" s="79" t="s">
        <v>197</v>
      </c>
      <c r="Q89" s="79" t="s">
        <v>197</v>
      </c>
      <c r="R89" s="79" t="s">
        <v>197</v>
      </c>
      <c r="S89" s="79" t="s">
        <v>197</v>
      </c>
      <c r="T89" s="79" t="s">
        <v>197</v>
      </c>
      <c r="U89" s="79" t="s">
        <v>197</v>
      </c>
      <c r="V89" s="79" t="s">
        <v>197</v>
      </c>
      <c r="W89" s="79" t="s">
        <v>197</v>
      </c>
      <c r="X89" s="79" t="s">
        <v>197</v>
      </c>
      <c r="Y89" s="79" t="s">
        <v>197</v>
      </c>
      <c r="Z89" s="79" t="s">
        <v>197</v>
      </c>
      <c r="AA89" s="79" t="s">
        <v>197</v>
      </c>
    </row>
    <row r="90" spans="2:27" x14ac:dyDescent="0.3">
      <c r="B90" s="7" t="s">
        <v>10</v>
      </c>
      <c r="C90" s="11"/>
      <c r="D90" s="11"/>
      <c r="E90" s="11"/>
      <c r="F90" s="11"/>
      <c r="G90" s="85">
        <f t="shared" ref="G90:N90" si="59">+SUM(G91:G95)</f>
        <v>0</v>
      </c>
      <c r="H90" s="85">
        <f t="shared" si="59"/>
        <v>0</v>
      </c>
      <c r="I90" s="85">
        <f t="shared" si="59"/>
        <v>0</v>
      </c>
      <c r="J90" s="85">
        <f t="shared" si="59"/>
        <v>0</v>
      </c>
      <c r="K90" s="85">
        <f t="shared" si="59"/>
        <v>0</v>
      </c>
      <c r="L90" s="85">
        <f t="shared" si="59"/>
        <v>0</v>
      </c>
      <c r="M90" s="85">
        <f t="shared" si="59"/>
        <v>0</v>
      </c>
      <c r="N90" s="85">
        <f t="shared" si="59"/>
        <v>0</v>
      </c>
      <c r="O90" s="85">
        <f>+SUM(O91:O104)</f>
        <v>136656</v>
      </c>
      <c r="P90" s="85">
        <f t="shared" ref="P90:AA90" si="60">+SUM(P91:P104)</f>
        <v>346896</v>
      </c>
      <c r="Q90" s="85">
        <f t="shared" si="60"/>
        <v>346896</v>
      </c>
      <c r="R90" s="85">
        <f t="shared" si="60"/>
        <v>346896</v>
      </c>
      <c r="S90" s="85">
        <f t="shared" si="60"/>
        <v>346896</v>
      </c>
      <c r="T90" s="85">
        <f t="shared" si="60"/>
        <v>346896</v>
      </c>
      <c r="U90" s="85">
        <f t="shared" si="60"/>
        <v>346896</v>
      </c>
      <c r="V90" s="85">
        <f t="shared" si="60"/>
        <v>346896</v>
      </c>
      <c r="W90" s="85">
        <f t="shared" si="60"/>
        <v>346896</v>
      </c>
      <c r="X90" s="85">
        <f t="shared" si="60"/>
        <v>346896</v>
      </c>
      <c r="Y90" s="85">
        <f t="shared" si="60"/>
        <v>346896</v>
      </c>
      <c r="Z90" s="85">
        <f t="shared" si="60"/>
        <v>346896</v>
      </c>
      <c r="AA90" s="85">
        <f t="shared" si="60"/>
        <v>346896</v>
      </c>
    </row>
    <row r="91" spans="2:27" x14ac:dyDescent="0.3">
      <c r="B91" s="57" t="s">
        <v>411</v>
      </c>
      <c r="C91" s="57"/>
      <c r="D91" s="57"/>
      <c r="E91" s="57"/>
      <c r="F91" s="57"/>
      <c r="G91" s="78"/>
      <c r="H91" s="78"/>
      <c r="I91" s="78"/>
      <c r="J91" s="78"/>
      <c r="K91" s="78"/>
      <c r="L91" s="78"/>
      <c r="M91" s="78"/>
      <c r="N91" s="78"/>
      <c r="O91" s="78"/>
      <c r="P91" s="78"/>
      <c r="Q91" s="78"/>
      <c r="R91" s="78"/>
      <c r="S91" s="78"/>
      <c r="T91" s="78"/>
      <c r="U91" s="78"/>
      <c r="V91" s="78"/>
      <c r="W91" s="78"/>
      <c r="X91" s="78"/>
      <c r="Y91" s="78"/>
      <c r="Z91" s="78"/>
      <c r="AA91" s="78"/>
    </row>
    <row r="92" spans="2:27" x14ac:dyDescent="0.3">
      <c r="B92" s="47" t="s">
        <v>234</v>
      </c>
      <c r="C92" s="110">
        <v>2019</v>
      </c>
      <c r="D92" s="110">
        <v>50</v>
      </c>
      <c r="E92" s="110">
        <v>0.24</v>
      </c>
      <c r="F92" s="110"/>
      <c r="G92" s="49"/>
      <c r="H92" s="49"/>
      <c r="I92" s="49"/>
      <c r="J92" s="49"/>
      <c r="K92" s="49"/>
      <c r="L92" s="49"/>
      <c r="M92" s="49"/>
      <c r="N92" s="49"/>
      <c r="O92" s="49"/>
      <c r="P92" s="49">
        <f t="shared" ref="P92:AA94" si="61">+$D92*8760*$E92</f>
        <v>105120</v>
      </c>
      <c r="Q92" s="49">
        <f t="shared" si="61"/>
        <v>105120</v>
      </c>
      <c r="R92" s="49">
        <f t="shared" si="61"/>
        <v>105120</v>
      </c>
      <c r="S92" s="49">
        <f t="shared" si="61"/>
        <v>105120</v>
      </c>
      <c r="T92" s="49">
        <f t="shared" si="61"/>
        <v>105120</v>
      </c>
      <c r="U92" s="49">
        <f t="shared" si="61"/>
        <v>105120</v>
      </c>
      <c r="V92" s="49">
        <f t="shared" si="61"/>
        <v>105120</v>
      </c>
      <c r="W92" s="49">
        <f t="shared" si="61"/>
        <v>105120</v>
      </c>
      <c r="X92" s="49">
        <f t="shared" si="61"/>
        <v>105120</v>
      </c>
      <c r="Y92" s="49">
        <f t="shared" si="61"/>
        <v>105120</v>
      </c>
      <c r="Z92" s="49">
        <f t="shared" si="61"/>
        <v>105120</v>
      </c>
      <c r="AA92" s="49">
        <f t="shared" si="61"/>
        <v>105120</v>
      </c>
    </row>
    <row r="93" spans="2:27" x14ac:dyDescent="0.3">
      <c r="B93" s="57" t="s">
        <v>411</v>
      </c>
      <c r="C93" s="57"/>
      <c r="D93" s="57"/>
      <c r="E93" s="57"/>
      <c r="F93" s="57"/>
      <c r="G93" s="78"/>
      <c r="H93" s="78"/>
      <c r="I93" s="78"/>
      <c r="J93" s="78"/>
      <c r="K93" s="78"/>
      <c r="L93" s="78"/>
      <c r="M93" s="78"/>
      <c r="N93" s="78"/>
      <c r="O93" s="78"/>
      <c r="P93" s="78"/>
      <c r="Q93" s="78"/>
      <c r="R93" s="78"/>
      <c r="S93" s="78"/>
      <c r="T93" s="78"/>
      <c r="U93" s="78"/>
      <c r="V93" s="78"/>
      <c r="W93" s="78"/>
      <c r="X93" s="78"/>
      <c r="Y93" s="78"/>
      <c r="Z93" s="78"/>
      <c r="AA93" s="78"/>
    </row>
    <row r="94" spans="2:27" x14ac:dyDescent="0.3">
      <c r="B94" s="47" t="s">
        <v>234</v>
      </c>
      <c r="C94" s="110">
        <v>2019</v>
      </c>
      <c r="D94" s="110">
        <v>50</v>
      </c>
      <c r="E94" s="110">
        <v>0.24</v>
      </c>
      <c r="F94" s="110"/>
      <c r="G94" s="49"/>
      <c r="H94" s="49"/>
      <c r="I94" s="49"/>
      <c r="J94" s="49"/>
      <c r="K94" s="49"/>
      <c r="L94" s="49"/>
      <c r="M94" s="49"/>
      <c r="N94" s="49"/>
      <c r="O94" s="49"/>
      <c r="P94" s="49">
        <f t="shared" si="61"/>
        <v>105120</v>
      </c>
      <c r="Q94" s="49">
        <f t="shared" si="61"/>
        <v>105120</v>
      </c>
      <c r="R94" s="49">
        <f t="shared" si="61"/>
        <v>105120</v>
      </c>
      <c r="S94" s="49">
        <f t="shared" si="61"/>
        <v>105120</v>
      </c>
      <c r="T94" s="49">
        <f t="shared" si="61"/>
        <v>105120</v>
      </c>
      <c r="U94" s="49">
        <f t="shared" si="61"/>
        <v>105120</v>
      </c>
      <c r="V94" s="49">
        <f t="shared" si="61"/>
        <v>105120</v>
      </c>
      <c r="W94" s="49">
        <f t="shared" si="61"/>
        <v>105120</v>
      </c>
      <c r="X94" s="49">
        <f t="shared" si="61"/>
        <v>105120</v>
      </c>
      <c r="Y94" s="49">
        <f t="shared" si="61"/>
        <v>105120</v>
      </c>
      <c r="Z94" s="49">
        <f t="shared" si="61"/>
        <v>105120</v>
      </c>
      <c r="AA94" s="49">
        <f t="shared" si="61"/>
        <v>105120</v>
      </c>
    </row>
    <row r="95" spans="2:27" x14ac:dyDescent="0.3">
      <c r="B95" s="57" t="s">
        <v>44</v>
      </c>
      <c r="C95" s="57"/>
      <c r="D95" s="57"/>
      <c r="E95" s="57"/>
      <c r="F95" s="57"/>
      <c r="G95" s="78"/>
      <c r="H95" s="78"/>
      <c r="I95" s="78"/>
      <c r="J95" s="78"/>
      <c r="K95" s="78"/>
      <c r="L95" s="78"/>
      <c r="M95" s="78"/>
      <c r="N95" s="78"/>
      <c r="O95" s="78"/>
      <c r="P95" s="78"/>
      <c r="Q95" s="78"/>
      <c r="R95" s="78"/>
      <c r="S95" s="78"/>
      <c r="T95" s="78"/>
      <c r="U95" s="78"/>
      <c r="V95" s="78"/>
      <c r="W95" s="78"/>
      <c r="X95" s="78"/>
      <c r="Y95" s="78"/>
      <c r="Z95" s="78"/>
      <c r="AA95" s="78"/>
    </row>
    <row r="96" spans="2:27" x14ac:dyDescent="0.3">
      <c r="B96" s="47" t="s">
        <v>44</v>
      </c>
      <c r="C96" s="390">
        <v>2018</v>
      </c>
      <c r="D96" s="391">
        <v>60</v>
      </c>
      <c r="E96" s="110">
        <v>0.24</v>
      </c>
      <c r="F96" s="110"/>
      <c r="G96" s="47"/>
      <c r="H96" s="47"/>
      <c r="I96" s="47"/>
      <c r="J96" s="49"/>
      <c r="K96" s="49"/>
      <c r="L96" s="49"/>
      <c r="M96" s="49"/>
      <c r="N96" s="49"/>
      <c r="O96" s="49">
        <f t="shared" ref="O96:AA96" si="62">+$D96*8760*$E96</f>
        <v>126144</v>
      </c>
      <c r="P96" s="49">
        <f t="shared" si="62"/>
        <v>126144</v>
      </c>
      <c r="Q96" s="49">
        <f t="shared" si="62"/>
        <v>126144</v>
      </c>
      <c r="R96" s="49">
        <f t="shared" si="62"/>
        <v>126144</v>
      </c>
      <c r="S96" s="49">
        <f t="shared" si="62"/>
        <v>126144</v>
      </c>
      <c r="T96" s="49">
        <f t="shared" si="62"/>
        <v>126144</v>
      </c>
      <c r="U96" s="49">
        <f t="shared" si="62"/>
        <v>126144</v>
      </c>
      <c r="V96" s="49">
        <f t="shared" si="62"/>
        <v>126144</v>
      </c>
      <c r="W96" s="49">
        <f t="shared" si="62"/>
        <v>126144</v>
      </c>
      <c r="X96" s="49">
        <f t="shared" si="62"/>
        <v>126144</v>
      </c>
      <c r="Y96" s="49">
        <f t="shared" si="62"/>
        <v>126144</v>
      </c>
      <c r="Z96" s="49">
        <f t="shared" si="62"/>
        <v>126144</v>
      </c>
      <c r="AA96" s="49">
        <f t="shared" si="62"/>
        <v>126144</v>
      </c>
    </row>
    <row r="97" spans="2:27" x14ac:dyDescent="0.3">
      <c r="B97" s="57" t="s">
        <v>11</v>
      </c>
      <c r="C97" s="57"/>
      <c r="D97" s="57"/>
      <c r="E97" s="57"/>
      <c r="F97" s="57"/>
      <c r="G97" s="78"/>
      <c r="H97" s="78"/>
      <c r="I97" s="78"/>
      <c r="J97" s="78"/>
      <c r="K97" s="78"/>
      <c r="L97" s="78"/>
      <c r="M97" s="78"/>
      <c r="N97" s="78"/>
      <c r="O97" s="78"/>
      <c r="P97" s="78"/>
      <c r="Q97" s="78"/>
      <c r="R97" s="78"/>
      <c r="S97" s="78"/>
      <c r="T97" s="78"/>
      <c r="U97" s="78"/>
      <c r="V97" s="78"/>
      <c r="W97" s="78"/>
      <c r="X97" s="78"/>
      <c r="Y97" s="78"/>
      <c r="Z97" s="78"/>
      <c r="AA97" s="78"/>
    </row>
    <row r="98" spans="2:27" x14ac:dyDescent="0.3">
      <c r="B98" s="47" t="s">
        <v>11</v>
      </c>
      <c r="C98" s="390">
        <v>2018</v>
      </c>
      <c r="D98" s="391">
        <v>5</v>
      </c>
      <c r="E98" s="110">
        <v>0.24</v>
      </c>
      <c r="F98" s="110"/>
      <c r="G98" s="47"/>
      <c r="H98" s="47"/>
      <c r="I98" s="47"/>
      <c r="J98" s="49"/>
      <c r="K98" s="49"/>
      <c r="L98" s="49"/>
      <c r="M98" s="49"/>
      <c r="N98" s="49"/>
      <c r="O98" s="49">
        <f t="shared" ref="O98:AA98" si="63">+$D98*8760*$E98</f>
        <v>10512</v>
      </c>
      <c r="P98" s="49">
        <f t="shared" si="63"/>
        <v>10512</v>
      </c>
      <c r="Q98" s="49">
        <f t="shared" si="63"/>
        <v>10512</v>
      </c>
      <c r="R98" s="49">
        <f t="shared" si="63"/>
        <v>10512</v>
      </c>
      <c r="S98" s="49">
        <f t="shared" si="63"/>
        <v>10512</v>
      </c>
      <c r="T98" s="49">
        <f t="shared" si="63"/>
        <v>10512</v>
      </c>
      <c r="U98" s="49">
        <f t="shared" si="63"/>
        <v>10512</v>
      </c>
      <c r="V98" s="49">
        <f t="shared" si="63"/>
        <v>10512</v>
      </c>
      <c r="W98" s="49">
        <f t="shared" si="63"/>
        <v>10512</v>
      </c>
      <c r="X98" s="49">
        <f t="shared" si="63"/>
        <v>10512</v>
      </c>
      <c r="Y98" s="49">
        <f t="shared" si="63"/>
        <v>10512</v>
      </c>
      <c r="Z98" s="49">
        <f t="shared" si="63"/>
        <v>10512</v>
      </c>
      <c r="AA98" s="49">
        <f t="shared" si="63"/>
        <v>10512</v>
      </c>
    </row>
    <row r="99" spans="2:27" x14ac:dyDescent="0.3">
      <c r="B99" s="57" t="s">
        <v>421</v>
      </c>
      <c r="C99" s="57"/>
      <c r="D99" s="57"/>
      <c r="E99" s="57"/>
      <c r="F99" s="57"/>
      <c r="G99" s="78"/>
      <c r="H99" s="78"/>
      <c r="I99" s="78"/>
      <c r="J99" s="78"/>
      <c r="K99" s="78"/>
      <c r="L99" s="78"/>
      <c r="M99" s="78"/>
      <c r="N99" s="78"/>
      <c r="O99" s="78"/>
      <c r="P99" s="78"/>
      <c r="Q99" s="78"/>
      <c r="R99" s="78"/>
      <c r="S99" s="78"/>
      <c r="T99" s="78"/>
      <c r="U99" s="78"/>
      <c r="V99" s="78"/>
      <c r="W99" s="78"/>
      <c r="X99" s="78"/>
      <c r="Y99" s="78"/>
      <c r="Z99" s="78"/>
      <c r="AA99" s="78"/>
    </row>
    <row r="100" spans="2:27" x14ac:dyDescent="0.3">
      <c r="B100" s="47" t="s">
        <v>421</v>
      </c>
      <c r="C100" s="110"/>
      <c r="D100" s="391"/>
      <c r="E100" s="110"/>
      <c r="F100" s="110"/>
      <c r="G100" s="49"/>
      <c r="H100" s="49"/>
      <c r="I100" s="49"/>
      <c r="J100" s="49"/>
      <c r="K100" s="49"/>
      <c r="L100" s="49"/>
      <c r="M100" s="49"/>
      <c r="N100" s="49"/>
      <c r="O100" s="49"/>
      <c r="P100" s="49"/>
      <c r="Q100" s="49"/>
      <c r="R100" s="49"/>
      <c r="S100" s="49"/>
      <c r="T100" s="49"/>
      <c r="U100" s="49"/>
      <c r="V100" s="49"/>
      <c r="W100" s="49"/>
      <c r="X100" s="49"/>
      <c r="Y100" s="49"/>
      <c r="Z100" s="49"/>
      <c r="AA100" s="49"/>
    </row>
    <row r="101" spans="2:27" x14ac:dyDescent="0.3">
      <c r="B101" s="57" t="s">
        <v>422</v>
      </c>
      <c r="C101" s="57"/>
      <c r="D101" s="57"/>
      <c r="E101" s="57"/>
      <c r="F101" s="57"/>
      <c r="G101" s="78"/>
      <c r="H101" s="78"/>
      <c r="I101" s="78"/>
      <c r="J101" s="78"/>
      <c r="K101" s="78"/>
      <c r="L101" s="78"/>
      <c r="M101" s="78"/>
      <c r="N101" s="78"/>
      <c r="O101" s="78"/>
      <c r="P101" s="78"/>
      <c r="Q101" s="78"/>
      <c r="R101" s="78"/>
      <c r="S101" s="78"/>
      <c r="T101" s="78"/>
      <c r="U101" s="78"/>
      <c r="V101" s="78"/>
      <c r="W101" s="78"/>
      <c r="X101" s="78"/>
      <c r="Y101" s="78"/>
      <c r="Z101" s="78"/>
      <c r="AA101" s="78"/>
    </row>
    <row r="102" spans="2:27" x14ac:dyDescent="0.3">
      <c r="B102" s="47" t="s">
        <v>422</v>
      </c>
      <c r="C102" s="110"/>
      <c r="D102" s="391"/>
      <c r="E102" s="110"/>
      <c r="F102" s="110"/>
      <c r="G102" s="49"/>
      <c r="H102" s="49"/>
      <c r="I102" s="49"/>
      <c r="J102" s="49"/>
      <c r="K102" s="49"/>
      <c r="L102" s="49"/>
      <c r="M102" s="49"/>
      <c r="N102" s="49"/>
      <c r="O102" s="49"/>
      <c r="P102" s="49"/>
      <c r="Q102" s="49"/>
      <c r="R102" s="49"/>
      <c r="S102" s="49"/>
      <c r="T102" s="49"/>
      <c r="U102" s="49"/>
      <c r="V102" s="49"/>
      <c r="W102" s="49"/>
      <c r="X102" s="49"/>
      <c r="Y102" s="49"/>
      <c r="Z102" s="49"/>
      <c r="AA102" s="49"/>
    </row>
    <row r="103" spans="2:27" x14ac:dyDescent="0.3">
      <c r="B103" s="57" t="s">
        <v>423</v>
      </c>
      <c r="C103" s="57"/>
      <c r="D103" s="57"/>
      <c r="E103" s="57"/>
      <c r="F103" s="57"/>
      <c r="G103" s="78"/>
      <c r="H103" s="78"/>
      <c r="I103" s="78"/>
      <c r="J103" s="78"/>
      <c r="K103" s="78"/>
      <c r="L103" s="78"/>
      <c r="M103" s="78"/>
      <c r="N103" s="78"/>
      <c r="O103" s="78"/>
      <c r="P103" s="78"/>
      <c r="Q103" s="78"/>
      <c r="R103" s="78"/>
      <c r="S103" s="78"/>
      <c r="T103" s="78"/>
      <c r="U103" s="78"/>
      <c r="V103" s="78"/>
      <c r="W103" s="78"/>
      <c r="X103" s="78"/>
      <c r="Y103" s="78"/>
      <c r="Z103" s="78"/>
      <c r="AA103" s="78"/>
    </row>
    <row r="104" spans="2:27" x14ac:dyDescent="0.3">
      <c r="B104" s="47" t="s">
        <v>423</v>
      </c>
      <c r="C104" s="110"/>
      <c r="D104" s="391"/>
      <c r="E104" s="110"/>
      <c r="F104" s="110"/>
      <c r="G104" s="49"/>
      <c r="H104" s="49"/>
      <c r="I104" s="49"/>
      <c r="J104" s="49"/>
      <c r="K104" s="49"/>
      <c r="L104" s="49"/>
      <c r="M104" s="49"/>
      <c r="N104" s="49"/>
      <c r="O104" s="49"/>
      <c r="P104" s="49"/>
      <c r="Q104" s="49"/>
      <c r="R104" s="49"/>
      <c r="S104" s="49"/>
      <c r="T104" s="49"/>
      <c r="U104" s="49"/>
      <c r="V104" s="49"/>
      <c r="W104" s="49"/>
      <c r="X104" s="49"/>
      <c r="Y104" s="49"/>
      <c r="Z104" s="49"/>
      <c r="AA104" s="49"/>
    </row>
    <row r="105" spans="2:27" x14ac:dyDescent="0.3">
      <c r="B105" s="13"/>
      <c r="C105" s="13"/>
      <c r="D105" s="13"/>
      <c r="E105" s="13"/>
      <c r="F105" s="13"/>
      <c r="G105" s="41"/>
      <c r="H105" s="41"/>
      <c r="I105" s="41"/>
      <c r="J105" s="41"/>
      <c r="K105" s="41"/>
      <c r="L105" s="41"/>
      <c r="M105" s="41"/>
      <c r="N105" s="41"/>
      <c r="O105" s="41"/>
      <c r="P105" s="41"/>
      <c r="Q105" s="41"/>
      <c r="R105" s="41"/>
      <c r="S105" s="41"/>
      <c r="T105" s="41"/>
      <c r="U105" s="41"/>
      <c r="V105" s="41"/>
      <c r="W105" s="41"/>
      <c r="X105" s="41"/>
      <c r="Y105" s="41"/>
      <c r="Z105" s="41"/>
      <c r="AA105" s="41"/>
    </row>
    <row r="106" spans="2:27" ht="28.8" x14ac:dyDescent="0.3">
      <c r="B106" s="84" t="s">
        <v>164</v>
      </c>
      <c r="C106" s="80" t="s">
        <v>279</v>
      </c>
      <c r="D106" s="389" t="s">
        <v>397</v>
      </c>
      <c r="E106" s="388" t="s">
        <v>247</v>
      </c>
      <c r="F106" s="388"/>
      <c r="G106" s="79" t="s">
        <v>197</v>
      </c>
      <c r="H106" s="79" t="s">
        <v>197</v>
      </c>
      <c r="I106" s="79" t="s">
        <v>197</v>
      </c>
      <c r="J106" s="79" t="s">
        <v>197</v>
      </c>
      <c r="K106" s="79" t="s">
        <v>197</v>
      </c>
      <c r="L106" s="79" t="s">
        <v>197</v>
      </c>
      <c r="M106" s="79" t="s">
        <v>197</v>
      </c>
      <c r="N106" s="79" t="s">
        <v>197</v>
      </c>
      <c r="O106" s="79" t="s">
        <v>197</v>
      </c>
      <c r="P106" s="79" t="s">
        <v>197</v>
      </c>
      <c r="Q106" s="79" t="s">
        <v>197</v>
      </c>
      <c r="R106" s="79" t="s">
        <v>197</v>
      </c>
      <c r="S106" s="79" t="s">
        <v>197</v>
      </c>
      <c r="T106" s="79" t="s">
        <v>197</v>
      </c>
      <c r="U106" s="79" t="s">
        <v>197</v>
      </c>
      <c r="V106" s="79" t="s">
        <v>197</v>
      </c>
      <c r="W106" s="79" t="s">
        <v>197</v>
      </c>
      <c r="X106" s="79" t="s">
        <v>197</v>
      </c>
      <c r="Y106" s="79" t="s">
        <v>197</v>
      </c>
      <c r="Z106" s="79" t="s">
        <v>197</v>
      </c>
      <c r="AA106" s="79" t="s">
        <v>197</v>
      </c>
    </row>
    <row r="107" spans="2:27" x14ac:dyDescent="0.3">
      <c r="B107" s="7" t="s">
        <v>50</v>
      </c>
      <c r="C107" s="11"/>
      <c r="D107" s="11"/>
      <c r="E107" s="11"/>
      <c r="F107" s="11"/>
      <c r="G107" s="85">
        <f t="shared" ref="G107" si="64">+SUM(G108:G113)</f>
        <v>0</v>
      </c>
      <c r="H107" s="85">
        <f t="shared" ref="H107" si="65">+SUM(H108:H113)</f>
        <v>0</v>
      </c>
      <c r="I107" s="85">
        <f t="shared" ref="I107" si="66">+SUM(I108:I113)</f>
        <v>0</v>
      </c>
      <c r="J107" s="85">
        <f t="shared" ref="J107" si="67">+SUM(J108:J113)</f>
        <v>0</v>
      </c>
      <c r="K107" s="85">
        <f t="shared" ref="K107" si="68">+SUM(K108:K113)</f>
        <v>0</v>
      </c>
      <c r="L107" s="85">
        <f t="shared" ref="L107" si="69">+SUM(L108:L113)</f>
        <v>0</v>
      </c>
      <c r="M107" s="85">
        <f t="shared" ref="M107" si="70">+SUM(M108:M113)</f>
        <v>0</v>
      </c>
      <c r="N107" s="85">
        <f>+SUM(N108:N113)</f>
        <v>0</v>
      </c>
      <c r="O107" s="85">
        <f>+SUM(O108:O111)</f>
        <v>0</v>
      </c>
      <c r="P107" s="85">
        <f t="shared" ref="P107:AA107" si="71">+SUM(P108:P111)</f>
        <v>0</v>
      </c>
      <c r="Q107" s="85">
        <f t="shared" si="71"/>
        <v>37230</v>
      </c>
      <c r="R107" s="85">
        <f t="shared" si="71"/>
        <v>37230</v>
      </c>
      <c r="S107" s="85">
        <f t="shared" si="71"/>
        <v>37230</v>
      </c>
      <c r="T107" s="85">
        <f t="shared" si="71"/>
        <v>37230</v>
      </c>
      <c r="U107" s="85">
        <f t="shared" si="71"/>
        <v>37230</v>
      </c>
      <c r="V107" s="85">
        <f t="shared" si="71"/>
        <v>37230</v>
      </c>
      <c r="W107" s="85">
        <f t="shared" si="71"/>
        <v>37230</v>
      </c>
      <c r="X107" s="85">
        <f t="shared" si="71"/>
        <v>37230</v>
      </c>
      <c r="Y107" s="85">
        <f t="shared" si="71"/>
        <v>37230</v>
      </c>
      <c r="Z107" s="85">
        <f t="shared" si="71"/>
        <v>37230</v>
      </c>
      <c r="AA107" s="85">
        <f t="shared" si="71"/>
        <v>37230</v>
      </c>
    </row>
    <row r="108" spans="2:27" x14ac:dyDescent="0.3">
      <c r="B108" s="57" t="s">
        <v>51</v>
      </c>
      <c r="C108" s="57"/>
      <c r="D108" s="57"/>
      <c r="E108" s="57"/>
      <c r="F108" s="57"/>
      <c r="G108" s="78"/>
      <c r="H108" s="78"/>
      <c r="I108" s="78"/>
      <c r="J108" s="78"/>
      <c r="K108" s="78"/>
      <c r="L108" s="78"/>
      <c r="M108" s="78"/>
      <c r="N108" s="78"/>
      <c r="O108" s="78"/>
      <c r="P108" s="78"/>
      <c r="Q108" s="78"/>
      <c r="R108" s="78"/>
      <c r="S108" s="78"/>
      <c r="T108" s="78"/>
      <c r="U108" s="78"/>
      <c r="V108" s="78"/>
      <c r="W108" s="78"/>
      <c r="X108" s="78"/>
      <c r="Y108" s="78"/>
      <c r="Z108" s="78"/>
      <c r="AA108" s="78"/>
    </row>
    <row r="109" spans="2:27" x14ac:dyDescent="0.3">
      <c r="B109" s="47" t="s">
        <v>51</v>
      </c>
      <c r="C109" s="390">
        <v>2020</v>
      </c>
      <c r="D109" s="391">
        <v>5</v>
      </c>
      <c r="E109" s="110">
        <v>0.85</v>
      </c>
      <c r="F109" s="110"/>
      <c r="G109" s="47"/>
      <c r="H109" s="47"/>
      <c r="I109" s="47"/>
      <c r="J109" s="49"/>
      <c r="K109" s="49"/>
      <c r="L109" s="49"/>
      <c r="M109" s="49"/>
      <c r="N109" s="49"/>
      <c r="O109" s="49"/>
      <c r="P109" s="49"/>
      <c r="Q109" s="49">
        <f>+$D109*8760*$E109</f>
        <v>37230</v>
      </c>
      <c r="R109" s="49">
        <f t="shared" ref="R109:AA109" si="72">+$D109*8760*$E109</f>
        <v>37230</v>
      </c>
      <c r="S109" s="49">
        <f t="shared" si="72"/>
        <v>37230</v>
      </c>
      <c r="T109" s="49">
        <f t="shared" si="72"/>
        <v>37230</v>
      </c>
      <c r="U109" s="49">
        <f t="shared" si="72"/>
        <v>37230</v>
      </c>
      <c r="V109" s="49">
        <f t="shared" si="72"/>
        <v>37230</v>
      </c>
      <c r="W109" s="49">
        <f t="shared" si="72"/>
        <v>37230</v>
      </c>
      <c r="X109" s="49">
        <f t="shared" si="72"/>
        <v>37230</v>
      </c>
      <c r="Y109" s="49">
        <f t="shared" si="72"/>
        <v>37230</v>
      </c>
      <c r="Z109" s="49">
        <f t="shared" si="72"/>
        <v>37230</v>
      </c>
      <c r="AA109" s="49">
        <f t="shared" si="72"/>
        <v>37230</v>
      </c>
    </row>
    <row r="110" spans="2:27" x14ac:dyDescent="0.3">
      <c r="B110" s="57" t="s">
        <v>424</v>
      </c>
      <c r="C110" s="57"/>
      <c r="D110" s="57"/>
      <c r="E110" s="57"/>
      <c r="F110" s="57"/>
      <c r="G110" s="78"/>
      <c r="H110" s="78"/>
      <c r="I110" s="78"/>
      <c r="J110" s="78"/>
      <c r="K110" s="78"/>
      <c r="L110" s="78"/>
      <c r="M110" s="78"/>
      <c r="N110" s="78"/>
      <c r="O110" s="78"/>
      <c r="P110" s="78"/>
      <c r="Q110" s="78"/>
      <c r="R110" s="78"/>
      <c r="S110" s="78"/>
      <c r="T110" s="78"/>
      <c r="U110" s="78"/>
      <c r="V110" s="78"/>
      <c r="W110" s="78"/>
      <c r="X110" s="78"/>
      <c r="Y110" s="78"/>
      <c r="Z110" s="78"/>
      <c r="AA110" s="78"/>
    </row>
    <row r="111" spans="2:27" x14ac:dyDescent="0.3">
      <c r="B111" s="47" t="s">
        <v>424</v>
      </c>
      <c r="C111" s="390"/>
      <c r="D111" s="391"/>
      <c r="E111" s="110"/>
      <c r="F111" s="110"/>
      <c r="G111" s="47"/>
      <c r="H111" s="47"/>
      <c r="I111" s="47"/>
      <c r="J111" s="49"/>
      <c r="K111" s="49"/>
      <c r="L111" s="49"/>
      <c r="M111" s="49"/>
      <c r="N111" s="49"/>
      <c r="O111" s="49"/>
      <c r="P111" s="49"/>
      <c r="Q111" s="49"/>
      <c r="R111" s="49"/>
      <c r="S111" s="49"/>
      <c r="T111" s="49"/>
      <c r="U111" s="49"/>
      <c r="V111" s="49"/>
      <c r="W111" s="49"/>
      <c r="X111" s="49"/>
      <c r="Y111" s="49"/>
      <c r="Z111" s="49"/>
      <c r="AA111" s="49"/>
    </row>
    <row r="112" spans="2:27" x14ac:dyDescent="0.3">
      <c r="B112" s="113"/>
      <c r="C112" s="393"/>
      <c r="D112" s="394"/>
      <c r="E112" s="28"/>
      <c r="F112" s="28"/>
      <c r="G112" s="113"/>
      <c r="H112" s="113"/>
      <c r="I112" s="113"/>
      <c r="J112" s="30"/>
      <c r="K112" s="30"/>
      <c r="L112" s="30"/>
      <c r="M112" s="30"/>
      <c r="N112" s="30"/>
      <c r="O112" s="30"/>
      <c r="P112" s="30"/>
      <c r="Q112" s="30"/>
      <c r="R112" s="30"/>
      <c r="S112" s="30"/>
      <c r="T112" s="30"/>
      <c r="U112" s="30"/>
      <c r="V112" s="30"/>
      <c r="W112" s="30"/>
      <c r="X112" s="30"/>
      <c r="Y112" s="30"/>
      <c r="Z112" s="30"/>
      <c r="AA112" s="30"/>
    </row>
    <row r="113" spans="2:28" x14ac:dyDescent="0.3">
      <c r="B113" s="13"/>
      <c r="C113" s="13"/>
      <c r="D113" s="13"/>
      <c r="E113" s="13"/>
      <c r="F113" s="13"/>
      <c r="G113" s="41"/>
      <c r="H113" s="41"/>
      <c r="I113" s="41"/>
      <c r="J113" s="41"/>
      <c r="K113" s="41"/>
      <c r="L113" s="41"/>
      <c r="M113" s="41"/>
      <c r="N113" s="41"/>
      <c r="O113" s="41"/>
      <c r="P113" s="41"/>
      <c r="Q113" s="41"/>
      <c r="R113" s="41"/>
      <c r="S113" s="41"/>
      <c r="T113" s="41"/>
      <c r="U113" s="41"/>
      <c r="V113" s="41"/>
      <c r="W113" s="41"/>
      <c r="X113" s="41"/>
      <c r="Y113" s="41"/>
      <c r="Z113" s="41"/>
      <c r="AA113" s="41"/>
    </row>
    <row r="114" spans="2:28" x14ac:dyDescent="0.3">
      <c r="B114" s="385" t="s">
        <v>410</v>
      </c>
      <c r="C114" s="386"/>
      <c r="D114" s="386"/>
      <c r="E114" s="386"/>
      <c r="F114" s="386"/>
      <c r="G114" s="386"/>
      <c r="H114" s="386"/>
      <c r="I114" s="386"/>
      <c r="J114" s="386"/>
      <c r="K114" s="386"/>
      <c r="L114" s="386"/>
      <c r="M114" s="386"/>
      <c r="N114" s="386"/>
      <c r="O114" s="386"/>
      <c r="P114" s="386"/>
      <c r="Q114" s="386"/>
      <c r="R114" s="386"/>
      <c r="S114" s="386"/>
      <c r="T114" s="386"/>
      <c r="U114" s="386"/>
      <c r="V114" s="386"/>
      <c r="W114" s="386"/>
      <c r="X114" s="386"/>
      <c r="Y114" s="386"/>
      <c r="Z114" s="386"/>
      <c r="AA114" s="387"/>
    </row>
    <row r="115" spans="2:28" ht="13.95" customHeight="1" x14ac:dyDescent="0.3">
      <c r="B115" s="93"/>
      <c r="C115" s="93"/>
      <c r="D115" s="93"/>
      <c r="E115" s="93"/>
      <c r="F115" s="93"/>
      <c r="G115" s="93"/>
      <c r="H115" s="93"/>
      <c r="I115" s="93"/>
      <c r="J115" s="93"/>
      <c r="K115" s="93"/>
      <c r="L115" s="93"/>
      <c r="N115" s="95"/>
    </row>
    <row r="116" spans="2:28" x14ac:dyDescent="0.3">
      <c r="B116" s="381"/>
      <c r="C116" s="381"/>
      <c r="D116" s="381"/>
      <c r="E116" s="381"/>
      <c r="F116" s="381"/>
      <c r="G116" s="381">
        <v>2010</v>
      </c>
      <c r="H116" s="381">
        <v>2011</v>
      </c>
      <c r="I116" s="381">
        <v>2012</v>
      </c>
      <c r="J116" s="381">
        <v>2013</v>
      </c>
      <c r="K116" s="381">
        <v>2014</v>
      </c>
      <c r="L116" s="381">
        <v>2015</v>
      </c>
      <c r="M116" s="381">
        <v>2016</v>
      </c>
      <c r="N116" s="381">
        <v>2017</v>
      </c>
      <c r="O116" s="381">
        <v>2018</v>
      </c>
      <c r="P116" s="381">
        <v>2019</v>
      </c>
      <c r="Q116" s="381">
        <v>2020</v>
      </c>
      <c r="R116" s="381">
        <v>2021</v>
      </c>
      <c r="S116" s="381">
        <v>2022</v>
      </c>
      <c r="T116" s="381">
        <v>2023</v>
      </c>
      <c r="U116" s="381">
        <v>2024</v>
      </c>
      <c r="V116" s="381">
        <v>2025</v>
      </c>
      <c r="W116" s="381">
        <v>2026</v>
      </c>
      <c r="X116" s="381">
        <v>2027</v>
      </c>
      <c r="Y116" s="381">
        <v>2028</v>
      </c>
      <c r="Z116" s="381">
        <v>2029</v>
      </c>
      <c r="AA116" s="381">
        <v>2030</v>
      </c>
    </row>
    <row r="117" spans="2:28" ht="44.4" x14ac:dyDescent="0.35">
      <c r="B117" s="81" t="s">
        <v>163</v>
      </c>
      <c r="C117" s="81"/>
      <c r="D117" s="81"/>
      <c r="E117" s="81"/>
      <c r="F117" s="79" t="s">
        <v>442</v>
      </c>
      <c r="G117" s="397" t="s">
        <v>197</v>
      </c>
      <c r="H117" s="397" t="s">
        <v>197</v>
      </c>
      <c r="I117" s="397" t="s">
        <v>197</v>
      </c>
      <c r="J117" s="397" t="s">
        <v>197</v>
      </c>
      <c r="K117" s="397" t="s">
        <v>197</v>
      </c>
      <c r="L117" s="397" t="s">
        <v>197</v>
      </c>
      <c r="M117" s="397" t="s">
        <v>197</v>
      </c>
      <c r="N117" s="397" t="s">
        <v>197</v>
      </c>
      <c r="O117" s="397" t="s">
        <v>197</v>
      </c>
      <c r="P117" s="397" t="s">
        <v>197</v>
      </c>
      <c r="Q117" s="397" t="s">
        <v>197</v>
      </c>
      <c r="R117" s="397" t="s">
        <v>197</v>
      </c>
      <c r="S117" s="397" t="s">
        <v>197</v>
      </c>
      <c r="T117" s="397" t="s">
        <v>197</v>
      </c>
      <c r="U117" s="397" t="s">
        <v>197</v>
      </c>
      <c r="V117" s="397" t="s">
        <v>197</v>
      </c>
      <c r="W117" s="397" t="s">
        <v>197</v>
      </c>
      <c r="X117" s="397" t="s">
        <v>197</v>
      </c>
      <c r="Y117" s="397" t="s">
        <v>197</v>
      </c>
      <c r="Z117" s="397" t="s">
        <v>197</v>
      </c>
      <c r="AA117" s="397" t="s">
        <v>197</v>
      </c>
    </row>
    <row r="118" spans="2:28" x14ac:dyDescent="0.3">
      <c r="B118" s="16" t="s">
        <v>15</v>
      </c>
      <c r="C118" s="16"/>
      <c r="D118" s="377"/>
      <c r="E118" s="377"/>
      <c r="F118" s="377"/>
      <c r="G118" s="58">
        <f t="shared" ref="G118:M118" si="73">SUM(G119:G186)</f>
        <v>3875855.7150321514</v>
      </c>
      <c r="H118" s="58">
        <f t="shared" si="73"/>
        <v>4204795.5495570004</v>
      </c>
      <c r="I118" s="58">
        <f t="shared" si="73"/>
        <v>4475347.2606733171</v>
      </c>
      <c r="J118" s="58">
        <f t="shared" si="73"/>
        <v>4692441.8888248773</v>
      </c>
      <c r="K118" s="58">
        <f t="shared" si="73"/>
        <v>5426028.4641763652</v>
      </c>
      <c r="L118" s="58">
        <f t="shared" si="73"/>
        <v>5718182.0382411722</v>
      </c>
      <c r="M118" s="58">
        <f t="shared" si="73"/>
        <v>6857813.3036782192</v>
      </c>
      <c r="N118" s="58">
        <f>SUM(N119:N186)</f>
        <v>6556082.4895821987</v>
      </c>
      <c r="O118" s="58">
        <f t="shared" ref="O118:Z118" si="74">SUM(O119:O186)</f>
        <v>6298859.812753248</v>
      </c>
      <c r="P118" s="58">
        <f t="shared" si="74"/>
        <v>799722.24241293105</v>
      </c>
      <c r="Q118" s="58">
        <f t="shared" si="74"/>
        <v>0</v>
      </c>
      <c r="R118" s="58">
        <f t="shared" si="74"/>
        <v>0</v>
      </c>
      <c r="S118" s="58">
        <f t="shared" si="74"/>
        <v>0</v>
      </c>
      <c r="T118" s="58">
        <f t="shared" si="74"/>
        <v>0</v>
      </c>
      <c r="U118" s="58">
        <f t="shared" si="74"/>
        <v>0</v>
      </c>
      <c r="V118" s="58">
        <f t="shared" si="74"/>
        <v>189084.27459123899</v>
      </c>
      <c r="W118" s="58">
        <f t="shared" si="74"/>
        <v>1150563.4412579094</v>
      </c>
      <c r="X118" s="58">
        <f t="shared" si="74"/>
        <v>2166011.3579245759</v>
      </c>
      <c r="Y118" s="58">
        <f t="shared" si="74"/>
        <v>3238282.1912579113</v>
      </c>
      <c r="Z118" s="58">
        <f t="shared" si="74"/>
        <v>3275365.5245912462</v>
      </c>
      <c r="AA118" s="58">
        <f>SUM(AA119:AA186)</f>
        <v>4076248.857924575</v>
      </c>
      <c r="AB118" s="401">
        <f>SUM(AB119:AB186)</f>
        <v>3627882.4188363049</v>
      </c>
    </row>
    <row r="119" spans="2:28" x14ac:dyDescent="0.3">
      <c r="B119" s="75" t="s">
        <v>317</v>
      </c>
      <c r="C119" s="75"/>
      <c r="D119" s="75"/>
      <c r="E119" s="75"/>
      <c r="F119" s="398">
        <f>+OM_EF_2017!G23</f>
        <v>0</v>
      </c>
      <c r="G119" s="61"/>
      <c r="H119" s="61"/>
      <c r="I119" s="61"/>
      <c r="J119" s="61"/>
      <c r="K119" s="61"/>
      <c r="L119" s="61"/>
      <c r="M119" s="61"/>
      <c r="N119" s="61"/>
      <c r="O119" s="61"/>
      <c r="P119" s="61"/>
      <c r="Q119" s="61"/>
      <c r="R119" s="61"/>
      <c r="S119" s="61"/>
      <c r="T119" s="61"/>
      <c r="U119" s="61"/>
      <c r="V119" s="61"/>
      <c r="W119" s="61"/>
      <c r="X119" s="61"/>
      <c r="Y119" s="61"/>
      <c r="Z119" s="61"/>
      <c r="AA119" s="61"/>
      <c r="AB119" s="26">
        <f t="shared" ref="AB119:AB150" si="75">+F119*O119</f>
        <v>0</v>
      </c>
    </row>
    <row r="120" spans="2:28" x14ac:dyDescent="0.3">
      <c r="B120" s="76" t="s">
        <v>318</v>
      </c>
      <c r="C120" s="76"/>
      <c r="D120" s="207"/>
      <c r="E120" s="207"/>
      <c r="F120" s="399">
        <f>+OM_EF_2017!G24</f>
        <v>0.56430470027607305</v>
      </c>
      <c r="G120" s="49">
        <v>0</v>
      </c>
      <c r="H120" s="49">
        <v>0</v>
      </c>
      <c r="I120" s="49">
        <v>57810.708899999998</v>
      </c>
      <c r="J120" s="49">
        <v>107684.09799999998</v>
      </c>
      <c r="K120" s="49">
        <v>108265.76249999998</v>
      </c>
      <c r="L120" s="49">
        <v>62901.071699999942</v>
      </c>
      <c r="M120" s="49">
        <v>100635.927</v>
      </c>
      <c r="N120" s="49">
        <v>49236.522900000004</v>
      </c>
      <c r="O120" s="49">
        <f>+AVERAGE($L$120:$N$120)</f>
        <v>70924.507199999978</v>
      </c>
      <c r="P120" s="408"/>
      <c r="Q120" s="408"/>
      <c r="R120" s="408"/>
      <c r="S120" s="408"/>
      <c r="T120" s="408"/>
      <c r="U120" s="408"/>
      <c r="V120" s="408"/>
      <c r="W120" s="408">
        <v>52910.754535521482</v>
      </c>
      <c r="X120" s="49">
        <f t="shared" ref="X120:AA120" si="76">+AVERAGE($L$120:$N$120)</f>
        <v>70924.507199999978</v>
      </c>
      <c r="Y120" s="49">
        <f t="shared" si="76"/>
        <v>70924.507199999978</v>
      </c>
      <c r="Z120" s="49">
        <f t="shared" si="76"/>
        <v>70924.507199999978</v>
      </c>
      <c r="AA120" s="49">
        <f t="shared" si="76"/>
        <v>70924.507199999978</v>
      </c>
      <c r="AB120" s="26">
        <f t="shared" si="75"/>
        <v>40023.032777724169</v>
      </c>
    </row>
    <row r="121" spans="2:28" x14ac:dyDescent="0.3">
      <c r="B121" s="76" t="s">
        <v>324</v>
      </c>
      <c r="C121" s="76"/>
      <c r="D121" s="207"/>
      <c r="E121" s="207"/>
      <c r="F121" s="399">
        <f>+OM_EF_2017!G25</f>
        <v>0.4944620795160809</v>
      </c>
      <c r="G121" s="49">
        <v>0</v>
      </c>
      <c r="H121" s="49">
        <v>0</v>
      </c>
      <c r="I121" s="49">
        <v>0</v>
      </c>
      <c r="J121" s="49">
        <v>103575.98907</v>
      </c>
      <c r="K121" s="49">
        <v>74350.106548000011</v>
      </c>
      <c r="L121" s="49">
        <v>230006.70250000007</v>
      </c>
      <c r="M121" s="49">
        <v>213864.51399999997</v>
      </c>
      <c r="N121" s="49">
        <v>148687.6958000001</v>
      </c>
      <c r="O121" s="49">
        <f>+AVERAGE($L$121:$N$121)</f>
        <v>197519.63743333341</v>
      </c>
      <c r="P121" s="49">
        <f>+AVERAGE($L$121:$N$121)</f>
        <v>197519.63743333341</v>
      </c>
      <c r="Q121" s="408"/>
      <c r="R121" s="408"/>
      <c r="S121" s="408"/>
      <c r="T121" s="408"/>
      <c r="U121" s="408"/>
      <c r="V121" s="408"/>
      <c r="W121" s="49">
        <f t="shared" ref="W121:AA121" si="77">+AVERAGE($L$121:$N$121)</f>
        <v>197519.63743333341</v>
      </c>
      <c r="X121" s="49">
        <f t="shared" si="77"/>
        <v>197519.63743333341</v>
      </c>
      <c r="Y121" s="49">
        <f t="shared" si="77"/>
        <v>197519.63743333341</v>
      </c>
      <c r="Z121" s="49">
        <f t="shared" si="77"/>
        <v>197519.63743333341</v>
      </c>
      <c r="AA121" s="49">
        <f t="shared" si="77"/>
        <v>197519.63743333341</v>
      </c>
      <c r="AB121" s="26">
        <f t="shared" si="75"/>
        <v>97665.97067054837</v>
      </c>
    </row>
    <row r="122" spans="2:28" x14ac:dyDescent="0.3">
      <c r="B122" s="75" t="s">
        <v>19</v>
      </c>
      <c r="C122" s="75"/>
      <c r="D122" s="75"/>
      <c r="E122" s="75"/>
      <c r="F122" s="398">
        <f>+OM_EF_2017!G26</f>
        <v>0</v>
      </c>
      <c r="G122" s="61"/>
      <c r="H122" s="61"/>
      <c r="I122" s="61"/>
      <c r="J122" s="61"/>
      <c r="K122" s="61"/>
      <c r="L122" s="61"/>
      <c r="M122" s="61"/>
      <c r="N122" s="61"/>
      <c r="O122" s="61"/>
      <c r="P122" s="61"/>
      <c r="Q122" s="61"/>
      <c r="R122" s="61"/>
      <c r="S122" s="61"/>
      <c r="T122" s="61"/>
      <c r="U122" s="61"/>
      <c r="V122" s="61"/>
      <c r="W122" s="61"/>
      <c r="X122" s="61"/>
      <c r="Y122" s="61"/>
      <c r="Z122" s="61"/>
      <c r="AA122" s="61"/>
      <c r="AB122" s="26">
        <f t="shared" si="75"/>
        <v>0</v>
      </c>
    </row>
    <row r="123" spans="2:28" x14ac:dyDescent="0.3">
      <c r="B123" s="76" t="s">
        <v>87</v>
      </c>
      <c r="C123" s="76"/>
      <c r="D123" s="207"/>
      <c r="E123" s="207"/>
      <c r="F123" s="399">
        <f>+OM_EF_2017!G27</f>
        <v>0.60378353760396697</v>
      </c>
      <c r="G123" s="49">
        <v>0</v>
      </c>
      <c r="H123" s="49">
        <v>1295.25873</v>
      </c>
      <c r="I123" s="49">
        <v>6370.2055145175</v>
      </c>
      <c r="J123" s="49">
        <v>1574.99368394</v>
      </c>
      <c r="K123" s="49">
        <v>5457.5982823000022</v>
      </c>
      <c r="L123" s="49">
        <v>903.1293569275839</v>
      </c>
      <c r="M123" s="49">
        <v>2065.3987464399997</v>
      </c>
      <c r="N123" s="49">
        <v>511.0025</v>
      </c>
      <c r="O123" s="408"/>
      <c r="P123" s="408"/>
      <c r="Q123" s="408"/>
      <c r="R123" s="408"/>
      <c r="S123" s="408"/>
      <c r="T123" s="408"/>
      <c r="U123" s="408"/>
      <c r="V123" s="408"/>
      <c r="W123" s="408"/>
      <c r="X123" s="408"/>
      <c r="Y123" s="49">
        <f t="shared" ref="Y123:AA123" si="78">+AVERAGE($L$123:$N$123)</f>
        <v>1159.8435344558613</v>
      </c>
      <c r="Z123" s="49">
        <f t="shared" si="78"/>
        <v>1159.8435344558613</v>
      </c>
      <c r="AA123" s="49">
        <f t="shared" si="78"/>
        <v>1159.8435344558613</v>
      </c>
      <c r="AB123" s="26">
        <f t="shared" si="75"/>
        <v>0</v>
      </c>
    </row>
    <row r="124" spans="2:28" x14ac:dyDescent="0.3">
      <c r="B124" s="76" t="s">
        <v>88</v>
      </c>
      <c r="C124" s="76"/>
      <c r="D124" s="207"/>
      <c r="E124" s="207"/>
      <c r="F124" s="399">
        <f>+OM_EF_2017!G28</f>
        <v>0.60378353760396697</v>
      </c>
      <c r="G124" s="49">
        <v>7078.1761228214964</v>
      </c>
      <c r="H124" s="49">
        <v>6630.8057900000003</v>
      </c>
      <c r="I124" s="49">
        <v>0</v>
      </c>
      <c r="J124" s="49">
        <v>0</v>
      </c>
      <c r="K124" s="49">
        <v>1826.3282691160052</v>
      </c>
      <c r="L124" s="49">
        <v>911.2479539279999</v>
      </c>
      <c r="M124" s="49">
        <v>2494.435346064</v>
      </c>
      <c r="N124" s="49">
        <v>148.19450000000001</v>
      </c>
      <c r="O124" s="49">
        <f>+AVERAGE($L$124:$N$124)</f>
        <v>1184.6259333306666</v>
      </c>
      <c r="P124" s="408"/>
      <c r="Q124" s="408"/>
      <c r="R124" s="408"/>
      <c r="S124" s="408"/>
      <c r="T124" s="408"/>
      <c r="U124" s="408"/>
      <c r="V124" s="408"/>
      <c r="W124" s="408"/>
      <c r="X124" s="408"/>
      <c r="Y124" s="49">
        <f t="shared" ref="Y124:AA124" si="79">+AVERAGE($L$124:$N$124)</f>
        <v>1184.6259333306666</v>
      </c>
      <c r="Z124" s="49">
        <f t="shared" si="79"/>
        <v>1184.6259333306666</v>
      </c>
      <c r="AA124" s="49">
        <f t="shared" si="79"/>
        <v>1184.6259333306666</v>
      </c>
      <c r="AB124" s="26">
        <f t="shared" si="75"/>
        <v>715.25763676379097</v>
      </c>
    </row>
    <row r="125" spans="2:28" x14ac:dyDescent="0.3">
      <c r="B125" s="76" t="s">
        <v>89</v>
      </c>
      <c r="C125" s="76"/>
      <c r="D125" s="207"/>
      <c r="E125" s="207"/>
      <c r="F125" s="399">
        <f>+OM_EF_2017!G29</f>
        <v>0.60378353760396697</v>
      </c>
      <c r="G125" s="49">
        <v>6933.803202000001</v>
      </c>
      <c r="H125" s="49">
        <v>3921.550401</v>
      </c>
      <c r="I125" s="49">
        <v>7512.4494400000012</v>
      </c>
      <c r="J125" s="49">
        <v>1769.8755000000001</v>
      </c>
      <c r="K125" s="49">
        <v>5453.1379999999999</v>
      </c>
      <c r="L125" s="49">
        <v>742.68149999999991</v>
      </c>
      <c r="M125" s="49">
        <v>3046.8119999999999</v>
      </c>
      <c r="N125" s="49">
        <v>740.51250000000005</v>
      </c>
      <c r="O125" s="49">
        <f>+AVERAGE($L$125:$N$125)</f>
        <v>1510.0019999999997</v>
      </c>
      <c r="P125" s="408"/>
      <c r="Q125" s="408"/>
      <c r="R125" s="408"/>
      <c r="S125" s="408"/>
      <c r="T125" s="408"/>
      <c r="U125" s="408"/>
      <c r="V125" s="408"/>
      <c r="W125" s="408"/>
      <c r="X125" s="408"/>
      <c r="Y125" s="49">
        <f t="shared" ref="Y125:AA125" si="80">+AVERAGE($L$125:$N$125)</f>
        <v>1510.0019999999997</v>
      </c>
      <c r="Z125" s="49">
        <f t="shared" si="80"/>
        <v>1510.0019999999997</v>
      </c>
      <c r="AA125" s="49">
        <f t="shared" si="80"/>
        <v>1510.0019999999997</v>
      </c>
      <c r="AB125" s="26">
        <f t="shared" si="75"/>
        <v>911.71434934906517</v>
      </c>
    </row>
    <row r="126" spans="2:28" x14ac:dyDescent="0.3">
      <c r="B126" s="76" t="s">
        <v>90</v>
      </c>
      <c r="C126" s="76"/>
      <c r="D126" s="207"/>
      <c r="E126" s="207"/>
      <c r="F126" s="399"/>
      <c r="G126" s="49">
        <v>0</v>
      </c>
      <c r="H126" s="49">
        <v>0</v>
      </c>
      <c r="I126" s="49">
        <v>0</v>
      </c>
      <c r="J126" s="49">
        <v>0</v>
      </c>
      <c r="K126" s="49">
        <v>0</v>
      </c>
      <c r="L126" s="49">
        <v>0</v>
      </c>
      <c r="M126" s="49">
        <v>0</v>
      </c>
      <c r="N126" s="49">
        <v>0</v>
      </c>
      <c r="O126" s="49">
        <f t="shared" ref="O126:O134" si="81">+AVERAGE(L126:N126)</f>
        <v>0</v>
      </c>
      <c r="P126" s="49">
        <f t="shared" ref="P126:AA126" si="82">+O126</f>
        <v>0</v>
      </c>
      <c r="Q126" s="49">
        <f t="shared" si="82"/>
        <v>0</v>
      </c>
      <c r="R126" s="49">
        <f t="shared" si="82"/>
        <v>0</v>
      </c>
      <c r="S126" s="49">
        <f t="shared" si="82"/>
        <v>0</v>
      </c>
      <c r="T126" s="49">
        <f t="shared" si="82"/>
        <v>0</v>
      </c>
      <c r="U126" s="49">
        <f t="shared" si="82"/>
        <v>0</v>
      </c>
      <c r="V126" s="49">
        <f t="shared" si="82"/>
        <v>0</v>
      </c>
      <c r="W126" s="49">
        <f t="shared" si="82"/>
        <v>0</v>
      </c>
      <c r="X126" s="49">
        <f t="shared" si="82"/>
        <v>0</v>
      </c>
      <c r="Y126" s="49">
        <f t="shared" si="82"/>
        <v>0</v>
      </c>
      <c r="Z126" s="49">
        <f t="shared" si="82"/>
        <v>0</v>
      </c>
      <c r="AA126" s="49">
        <f t="shared" si="82"/>
        <v>0</v>
      </c>
      <c r="AB126" s="26">
        <f t="shared" si="75"/>
        <v>0</v>
      </c>
    </row>
    <row r="127" spans="2:28" x14ac:dyDescent="0.3">
      <c r="B127" s="76" t="s">
        <v>91</v>
      </c>
      <c r="C127" s="76"/>
      <c r="D127" s="207"/>
      <c r="E127" s="207"/>
      <c r="F127" s="399"/>
      <c r="G127" s="49">
        <v>2.1599455000000001</v>
      </c>
      <c r="H127" s="49">
        <v>0</v>
      </c>
      <c r="I127" s="49">
        <v>0</v>
      </c>
      <c r="J127" s="49">
        <v>0</v>
      </c>
      <c r="K127" s="49">
        <v>0</v>
      </c>
      <c r="L127" s="49">
        <v>0</v>
      </c>
      <c r="M127" s="49">
        <v>0</v>
      </c>
      <c r="N127" s="49">
        <v>0</v>
      </c>
      <c r="O127" s="49">
        <f t="shared" si="81"/>
        <v>0</v>
      </c>
      <c r="P127" s="49">
        <f t="shared" ref="P127:AA127" si="83">+O127</f>
        <v>0</v>
      </c>
      <c r="Q127" s="49">
        <f t="shared" si="83"/>
        <v>0</v>
      </c>
      <c r="R127" s="49">
        <f t="shared" si="83"/>
        <v>0</v>
      </c>
      <c r="S127" s="49">
        <f t="shared" si="83"/>
        <v>0</v>
      </c>
      <c r="T127" s="49">
        <f t="shared" si="83"/>
        <v>0</v>
      </c>
      <c r="U127" s="49">
        <f t="shared" si="83"/>
        <v>0</v>
      </c>
      <c r="V127" s="49">
        <f t="shared" si="83"/>
        <v>0</v>
      </c>
      <c r="W127" s="49">
        <f t="shared" si="83"/>
        <v>0</v>
      </c>
      <c r="X127" s="49">
        <f t="shared" si="83"/>
        <v>0</v>
      </c>
      <c r="Y127" s="49">
        <f t="shared" si="83"/>
        <v>0</v>
      </c>
      <c r="Z127" s="49">
        <f t="shared" si="83"/>
        <v>0</v>
      </c>
      <c r="AA127" s="49">
        <f t="shared" si="83"/>
        <v>0</v>
      </c>
      <c r="AB127" s="26">
        <f t="shared" si="75"/>
        <v>0</v>
      </c>
    </row>
    <row r="128" spans="2:28" x14ac:dyDescent="0.3">
      <c r="B128" s="76" t="s">
        <v>92</v>
      </c>
      <c r="C128" s="76"/>
      <c r="D128" s="207"/>
      <c r="E128" s="207"/>
      <c r="F128" s="399">
        <f>+OM_EF_2017!G30</f>
        <v>0.68049204311663647</v>
      </c>
      <c r="G128" s="49">
        <v>128803.56000000001</v>
      </c>
      <c r="H128" s="49">
        <v>132236.64000000001</v>
      </c>
      <c r="I128" s="49">
        <v>116890.92</v>
      </c>
      <c r="J128" s="49">
        <v>106260.78000000001</v>
      </c>
      <c r="K128" s="49">
        <v>105427.86</v>
      </c>
      <c r="L128" s="49">
        <v>83446.760000000184</v>
      </c>
      <c r="M128" s="49">
        <v>101154.24000000002</v>
      </c>
      <c r="N128" s="49">
        <v>139685.16</v>
      </c>
      <c r="O128" s="49">
        <f>+AVERAGE($L$128:$N$128)</f>
        <v>108095.38666666673</v>
      </c>
      <c r="P128" s="408"/>
      <c r="Q128" s="408"/>
      <c r="R128" s="408"/>
      <c r="S128" s="408"/>
      <c r="T128" s="408"/>
      <c r="U128" s="408"/>
      <c r="V128" s="408"/>
      <c r="W128" s="408"/>
      <c r="X128" s="408"/>
      <c r="Y128" s="49">
        <f t="shared" ref="Y128:AB128" si="84">+AVERAGE($L$128:$N$128)</f>
        <v>108095.38666666673</v>
      </c>
      <c r="Z128" s="49">
        <f t="shared" si="84"/>
        <v>108095.38666666673</v>
      </c>
      <c r="AA128" s="49">
        <f t="shared" si="84"/>
        <v>108095.38666666673</v>
      </c>
      <c r="AB128" s="49">
        <f t="shared" si="84"/>
        <v>108095.38666666673</v>
      </c>
    </row>
    <row r="129" spans="2:28" x14ac:dyDescent="0.3">
      <c r="B129" s="76" t="s">
        <v>93</v>
      </c>
      <c r="C129" s="76"/>
      <c r="D129" s="207"/>
      <c r="E129" s="207"/>
      <c r="F129" s="399">
        <f>+OM_EF_2017!G31</f>
        <v>0.53565738803214413</v>
      </c>
      <c r="G129" s="49">
        <v>8515.6443321999977</v>
      </c>
      <c r="H129" s="49">
        <v>9389.0358410000008</v>
      </c>
      <c r="I129" s="49">
        <v>1184.838632</v>
      </c>
      <c r="J129" s="49">
        <v>338.88614000000001</v>
      </c>
      <c r="K129" s="49">
        <v>10782.301104999993</v>
      </c>
      <c r="L129" s="49">
        <v>8423.3989699999547</v>
      </c>
      <c r="M129" s="49">
        <v>10825.283039999975</v>
      </c>
      <c r="N129" s="49">
        <v>697.1232500000001</v>
      </c>
      <c r="O129" s="49">
        <f>+AVERAGE($L$129:$N$129)</f>
        <v>6648.6017533333106</v>
      </c>
      <c r="P129" s="408"/>
      <c r="Q129" s="408"/>
      <c r="R129" s="408"/>
      <c r="S129" s="408"/>
      <c r="T129" s="408"/>
      <c r="U129" s="408"/>
      <c r="V129" s="408"/>
      <c r="W129" s="49">
        <f t="shared" ref="W129:AA129" si="85">+AVERAGE($L$129:$N$129)</f>
        <v>6648.6017533333106</v>
      </c>
      <c r="X129" s="49">
        <f t="shared" si="85"/>
        <v>6648.6017533333106</v>
      </c>
      <c r="Y129" s="49">
        <f t="shared" si="85"/>
        <v>6648.6017533333106</v>
      </c>
      <c r="Z129" s="49">
        <f t="shared" si="85"/>
        <v>6648.6017533333106</v>
      </c>
      <c r="AA129" s="49">
        <f t="shared" si="85"/>
        <v>6648.6017533333106</v>
      </c>
      <c r="AB129" s="26">
        <f t="shared" si="75"/>
        <v>3561.3726492564551</v>
      </c>
    </row>
    <row r="130" spans="2:28" x14ac:dyDescent="0.3">
      <c r="B130" s="76" t="s">
        <v>94</v>
      </c>
      <c r="C130" s="76"/>
      <c r="D130" s="207"/>
      <c r="E130" s="207"/>
      <c r="F130" s="399">
        <f>+OM_EF_2017!G32</f>
        <v>0.53565738803214413</v>
      </c>
      <c r="G130" s="49">
        <v>5375.3301001449963</v>
      </c>
      <c r="H130" s="49">
        <v>6762.7585799999997</v>
      </c>
      <c r="I130" s="49">
        <v>8797.9958194499977</v>
      </c>
      <c r="J130" s="49">
        <v>4904.8445299999994</v>
      </c>
      <c r="K130" s="49">
        <v>2009.3795900000014</v>
      </c>
      <c r="L130" s="49">
        <v>0</v>
      </c>
      <c r="M130" s="49">
        <v>0</v>
      </c>
      <c r="N130" s="49">
        <v>0</v>
      </c>
      <c r="O130" s="49">
        <f t="shared" si="81"/>
        <v>0</v>
      </c>
      <c r="P130" s="49">
        <f t="shared" ref="P130:AA130" si="86">+O130</f>
        <v>0</v>
      </c>
      <c r="Q130" s="49">
        <f t="shared" si="86"/>
        <v>0</v>
      </c>
      <c r="R130" s="49">
        <f t="shared" si="86"/>
        <v>0</v>
      </c>
      <c r="S130" s="49">
        <f t="shared" si="86"/>
        <v>0</v>
      </c>
      <c r="T130" s="49">
        <f t="shared" si="86"/>
        <v>0</v>
      </c>
      <c r="U130" s="49">
        <f t="shared" si="86"/>
        <v>0</v>
      </c>
      <c r="V130" s="49">
        <f t="shared" si="86"/>
        <v>0</v>
      </c>
      <c r="W130" s="49">
        <f t="shared" si="86"/>
        <v>0</v>
      </c>
      <c r="X130" s="49">
        <f t="shared" si="86"/>
        <v>0</v>
      </c>
      <c r="Y130" s="49">
        <f t="shared" si="86"/>
        <v>0</v>
      </c>
      <c r="Z130" s="49">
        <f t="shared" si="86"/>
        <v>0</v>
      </c>
      <c r="AA130" s="49">
        <f t="shared" si="86"/>
        <v>0</v>
      </c>
      <c r="AB130" s="26">
        <f t="shared" si="75"/>
        <v>0</v>
      </c>
    </row>
    <row r="131" spans="2:28" x14ac:dyDescent="0.3">
      <c r="B131" s="76" t="s">
        <v>95</v>
      </c>
      <c r="C131" s="76"/>
      <c r="D131" s="207"/>
      <c r="E131" s="207"/>
      <c r="F131" s="399">
        <f>+OM_EF_2017!G33</f>
        <v>0.53565738803214413</v>
      </c>
      <c r="G131" s="49">
        <v>5023.2107812749982</v>
      </c>
      <c r="H131" s="49">
        <v>0</v>
      </c>
      <c r="I131" s="49">
        <v>8208.257778800009</v>
      </c>
      <c r="J131" s="49">
        <v>9655.3631199999982</v>
      </c>
      <c r="K131" s="49">
        <v>5505.7637099999756</v>
      </c>
      <c r="L131" s="49">
        <v>4874.0930399999925</v>
      </c>
      <c r="M131" s="49">
        <v>10874.30593000001</v>
      </c>
      <c r="N131" s="49">
        <v>657.71189500000003</v>
      </c>
      <c r="O131" s="49">
        <f>+AVERAGE($L$131:$N$131)</f>
        <v>5468.7036216666675</v>
      </c>
      <c r="P131" s="408"/>
      <c r="Q131" s="408"/>
      <c r="R131" s="408"/>
      <c r="S131" s="408"/>
      <c r="T131" s="408"/>
      <c r="U131" s="408"/>
      <c r="V131" s="408"/>
      <c r="W131" s="49">
        <f t="shared" ref="W131:AA131" si="87">+AVERAGE($L$131:$N$131)</f>
        <v>5468.7036216666675</v>
      </c>
      <c r="X131" s="49">
        <f t="shared" si="87"/>
        <v>5468.7036216666675</v>
      </c>
      <c r="Y131" s="49">
        <f t="shared" si="87"/>
        <v>5468.7036216666675</v>
      </c>
      <c r="Z131" s="49">
        <f t="shared" si="87"/>
        <v>5468.7036216666675</v>
      </c>
      <c r="AA131" s="49">
        <f t="shared" si="87"/>
        <v>5468.7036216666675</v>
      </c>
      <c r="AB131" s="26">
        <f t="shared" si="75"/>
        <v>2929.3514979038941</v>
      </c>
    </row>
    <row r="132" spans="2:28" x14ac:dyDescent="0.3">
      <c r="B132" s="76" t="s">
        <v>96</v>
      </c>
      <c r="C132" s="76"/>
      <c r="D132" s="207"/>
      <c r="E132" s="207"/>
      <c r="F132" s="399">
        <f>+OM_EF_2017!G34</f>
        <v>0.53565738803214413</v>
      </c>
      <c r="G132" s="49">
        <v>2147.3923148100002</v>
      </c>
      <c r="H132" s="49">
        <v>6196.9345160000003</v>
      </c>
      <c r="I132" s="49">
        <v>11548.431087550014</v>
      </c>
      <c r="J132" s="49">
        <v>11349.074575000001</v>
      </c>
      <c r="K132" s="49">
        <v>9975.9341299999905</v>
      </c>
      <c r="L132" s="49">
        <v>7073.2160740378231</v>
      </c>
      <c r="M132" s="49">
        <v>0</v>
      </c>
      <c r="N132" s="49">
        <v>0</v>
      </c>
      <c r="O132" s="49">
        <v>0</v>
      </c>
      <c r="P132" s="49">
        <f t="shared" ref="P132:AA132" si="88">+O132</f>
        <v>0</v>
      </c>
      <c r="Q132" s="49">
        <f t="shared" si="88"/>
        <v>0</v>
      </c>
      <c r="R132" s="49">
        <f t="shared" si="88"/>
        <v>0</v>
      </c>
      <c r="S132" s="49">
        <f t="shared" si="88"/>
        <v>0</v>
      </c>
      <c r="T132" s="49">
        <f t="shared" si="88"/>
        <v>0</v>
      </c>
      <c r="U132" s="49">
        <f t="shared" si="88"/>
        <v>0</v>
      </c>
      <c r="V132" s="49">
        <f t="shared" si="88"/>
        <v>0</v>
      </c>
      <c r="W132" s="49">
        <f t="shared" si="88"/>
        <v>0</v>
      </c>
      <c r="X132" s="49">
        <f t="shared" si="88"/>
        <v>0</v>
      </c>
      <c r="Y132" s="49">
        <f t="shared" si="88"/>
        <v>0</v>
      </c>
      <c r="Z132" s="49">
        <f t="shared" si="88"/>
        <v>0</v>
      </c>
      <c r="AA132" s="49">
        <f t="shared" si="88"/>
        <v>0</v>
      </c>
      <c r="AB132" s="26">
        <f t="shared" si="75"/>
        <v>0</v>
      </c>
    </row>
    <row r="133" spans="2:28" x14ac:dyDescent="0.3">
      <c r="B133" s="76" t="s">
        <v>97</v>
      </c>
      <c r="C133" s="76"/>
      <c r="D133" s="207"/>
      <c r="E133" s="207"/>
      <c r="F133" s="399">
        <f>+OM_EF_2017!G35</f>
        <v>0.53565738803214413</v>
      </c>
      <c r="G133" s="49">
        <v>8526.9006409999947</v>
      </c>
      <c r="H133" s="49">
        <v>8851.2839679999997</v>
      </c>
      <c r="I133" s="49">
        <v>10087.290187999994</v>
      </c>
      <c r="J133" s="49">
        <v>9758.3664000000153</v>
      </c>
      <c r="K133" s="49">
        <v>4970.5611999999865</v>
      </c>
      <c r="L133" s="49">
        <v>5371.6201999999894</v>
      </c>
      <c r="M133" s="49">
        <v>0</v>
      </c>
      <c r="N133" s="49">
        <v>0</v>
      </c>
      <c r="O133" s="49">
        <v>0</v>
      </c>
      <c r="P133" s="49">
        <f t="shared" ref="P133:AA133" si="89">+O133</f>
        <v>0</v>
      </c>
      <c r="Q133" s="49">
        <f t="shared" si="89"/>
        <v>0</v>
      </c>
      <c r="R133" s="49">
        <f t="shared" si="89"/>
        <v>0</v>
      </c>
      <c r="S133" s="49">
        <f t="shared" si="89"/>
        <v>0</v>
      </c>
      <c r="T133" s="49">
        <f t="shared" si="89"/>
        <v>0</v>
      </c>
      <c r="U133" s="49">
        <f t="shared" si="89"/>
        <v>0</v>
      </c>
      <c r="V133" s="49">
        <f t="shared" si="89"/>
        <v>0</v>
      </c>
      <c r="W133" s="49">
        <f t="shared" si="89"/>
        <v>0</v>
      </c>
      <c r="X133" s="49">
        <f t="shared" si="89"/>
        <v>0</v>
      </c>
      <c r="Y133" s="49">
        <f t="shared" si="89"/>
        <v>0</v>
      </c>
      <c r="Z133" s="49">
        <f t="shared" si="89"/>
        <v>0</v>
      </c>
      <c r="AA133" s="49">
        <f t="shared" si="89"/>
        <v>0</v>
      </c>
      <c r="AB133" s="26">
        <f t="shared" si="75"/>
        <v>0</v>
      </c>
    </row>
    <row r="134" spans="2:28" x14ac:dyDescent="0.3">
      <c r="B134" s="76" t="s">
        <v>98</v>
      </c>
      <c r="C134" s="76"/>
      <c r="D134" s="207"/>
      <c r="E134" s="207"/>
      <c r="F134" s="399">
        <f>+OM_EF_2017!G36</f>
        <v>0.53565738803214413</v>
      </c>
      <c r="G134" s="53">
        <v>7797.8255404000083</v>
      </c>
      <c r="H134" s="53">
        <v>10123.336069999999</v>
      </c>
      <c r="I134" s="53">
        <v>9538.6528150000031</v>
      </c>
      <c r="J134" s="53">
        <v>2570.0208000000066</v>
      </c>
      <c r="K134" s="53">
        <v>7007.9093999999996</v>
      </c>
      <c r="L134" s="49">
        <v>0</v>
      </c>
      <c r="M134" s="49">
        <v>0</v>
      </c>
      <c r="N134" s="49">
        <v>0</v>
      </c>
      <c r="O134" s="49">
        <f t="shared" si="81"/>
        <v>0</v>
      </c>
      <c r="P134" s="49">
        <f t="shared" ref="P134:AA134" si="90">+O134</f>
        <v>0</v>
      </c>
      <c r="Q134" s="49">
        <f t="shared" si="90"/>
        <v>0</v>
      </c>
      <c r="R134" s="49">
        <f t="shared" si="90"/>
        <v>0</v>
      </c>
      <c r="S134" s="49">
        <f t="shared" si="90"/>
        <v>0</v>
      </c>
      <c r="T134" s="49">
        <f t="shared" si="90"/>
        <v>0</v>
      </c>
      <c r="U134" s="49">
        <f t="shared" si="90"/>
        <v>0</v>
      </c>
      <c r="V134" s="49">
        <f t="shared" si="90"/>
        <v>0</v>
      </c>
      <c r="W134" s="49">
        <f t="shared" si="90"/>
        <v>0</v>
      </c>
      <c r="X134" s="49">
        <f t="shared" si="90"/>
        <v>0</v>
      </c>
      <c r="Y134" s="49">
        <f t="shared" si="90"/>
        <v>0</v>
      </c>
      <c r="Z134" s="49">
        <f t="shared" si="90"/>
        <v>0</v>
      </c>
      <c r="AA134" s="49">
        <f t="shared" si="90"/>
        <v>0</v>
      </c>
      <c r="AB134" s="26">
        <f t="shared" si="75"/>
        <v>0</v>
      </c>
    </row>
    <row r="135" spans="2:28" x14ac:dyDescent="0.3">
      <c r="B135" s="76" t="s">
        <v>99</v>
      </c>
      <c r="C135" s="76"/>
      <c r="D135" s="207"/>
      <c r="E135" s="207"/>
      <c r="F135" s="399">
        <f>+OM_EF_2017!G37</f>
        <v>0.53565738803214413</v>
      </c>
      <c r="G135" s="49">
        <v>0</v>
      </c>
      <c r="H135" s="49">
        <v>4892.938408</v>
      </c>
      <c r="I135" s="49">
        <v>11580.990529000033</v>
      </c>
      <c r="J135" s="49">
        <v>10493.689199999977</v>
      </c>
      <c r="K135" s="49">
        <v>9947.2014000000054</v>
      </c>
      <c r="L135" s="53">
        <v>7564.2671999999584</v>
      </c>
      <c r="M135" s="49">
        <v>8339.7395999998589</v>
      </c>
      <c r="N135" s="49">
        <v>474.07699999999943</v>
      </c>
      <c r="O135" s="49">
        <f>+AVERAGE($L$135:$N$135)</f>
        <v>5459.3612666666058</v>
      </c>
      <c r="P135" s="408"/>
      <c r="Q135" s="408"/>
      <c r="R135" s="408"/>
      <c r="S135" s="408"/>
      <c r="T135" s="408"/>
      <c r="U135" s="408"/>
      <c r="V135" s="408"/>
      <c r="W135" s="49">
        <f t="shared" ref="W135:AA135" si="91">+AVERAGE($L$135:$N$135)</f>
        <v>5459.3612666666058</v>
      </c>
      <c r="X135" s="49">
        <f t="shared" si="91"/>
        <v>5459.3612666666058</v>
      </c>
      <c r="Y135" s="49">
        <f t="shared" si="91"/>
        <v>5459.3612666666058</v>
      </c>
      <c r="Z135" s="49">
        <f t="shared" si="91"/>
        <v>5459.3612666666058</v>
      </c>
      <c r="AA135" s="49">
        <f t="shared" si="91"/>
        <v>5459.3612666666058</v>
      </c>
      <c r="AB135" s="26">
        <f t="shared" si="75"/>
        <v>2924.3471964264918</v>
      </c>
    </row>
    <row r="136" spans="2:28" x14ac:dyDescent="0.3">
      <c r="B136" s="77" t="s">
        <v>20</v>
      </c>
      <c r="C136" s="77"/>
      <c r="D136" s="75"/>
      <c r="E136" s="75"/>
      <c r="F136" s="398">
        <f>+OM_EF_2017!G38</f>
        <v>0</v>
      </c>
      <c r="G136" s="61"/>
      <c r="H136" s="61"/>
      <c r="I136" s="61"/>
      <c r="J136" s="61"/>
      <c r="K136" s="61"/>
      <c r="L136" s="61"/>
      <c r="M136" s="61"/>
      <c r="N136" s="61"/>
      <c r="O136" s="61"/>
      <c r="P136" s="61"/>
      <c r="Q136" s="61"/>
      <c r="R136" s="61"/>
      <c r="S136" s="61"/>
      <c r="T136" s="61"/>
      <c r="U136" s="61"/>
      <c r="V136" s="61"/>
      <c r="W136" s="61"/>
      <c r="X136" s="61"/>
      <c r="Y136" s="61"/>
      <c r="Z136" s="61"/>
      <c r="AA136" s="61"/>
      <c r="AB136" s="26">
        <f t="shared" si="75"/>
        <v>0</v>
      </c>
    </row>
    <row r="137" spans="2:28" x14ac:dyDescent="0.3">
      <c r="B137" s="76" t="s">
        <v>113</v>
      </c>
      <c r="C137" s="76"/>
      <c r="D137" s="207"/>
      <c r="E137" s="207"/>
      <c r="F137" s="399">
        <f>+OM_EF_2017!G39</f>
        <v>0.53293470959573763</v>
      </c>
      <c r="G137" s="49">
        <v>320717</v>
      </c>
      <c r="H137" s="49">
        <v>327166</v>
      </c>
      <c r="I137" s="49">
        <v>106480</v>
      </c>
      <c r="J137" s="49">
        <v>287973.53399999999</v>
      </c>
      <c r="K137" s="49">
        <v>269807.61800000013</v>
      </c>
      <c r="L137" s="49">
        <v>253280.23099999985</v>
      </c>
      <c r="M137" s="49">
        <v>223504.63100000005</v>
      </c>
      <c r="N137" s="49">
        <v>237695.82099999994</v>
      </c>
      <c r="O137" s="49">
        <f>+AVERAGE($L$137:$N$137)</f>
        <v>238160.22766666661</v>
      </c>
      <c r="P137" s="408"/>
      <c r="Q137" s="408"/>
      <c r="R137" s="408"/>
      <c r="S137" s="408"/>
      <c r="T137" s="408"/>
      <c r="U137" s="408"/>
      <c r="V137" s="408"/>
      <c r="W137" s="49">
        <f t="shared" ref="W137:AA137" si="92">+AVERAGE($L$137:$N$137)</f>
        <v>238160.22766666661</v>
      </c>
      <c r="X137" s="49">
        <f t="shared" si="92"/>
        <v>238160.22766666661</v>
      </c>
      <c r="Y137" s="49">
        <f t="shared" si="92"/>
        <v>238160.22766666661</v>
      </c>
      <c r="Z137" s="49">
        <f t="shared" si="92"/>
        <v>238160.22766666661</v>
      </c>
      <c r="AA137" s="49">
        <f t="shared" si="92"/>
        <v>238160.22766666661</v>
      </c>
      <c r="AB137" s="26">
        <f t="shared" si="75"/>
        <v>126923.85176878973</v>
      </c>
    </row>
    <row r="138" spans="2:28" x14ac:dyDescent="0.3">
      <c r="B138" s="76" t="s">
        <v>114</v>
      </c>
      <c r="C138" s="76"/>
      <c r="D138" s="207"/>
      <c r="E138" s="207"/>
      <c r="F138" s="399">
        <f>+OM_EF_2017!G40</f>
        <v>0.53630846331041515</v>
      </c>
      <c r="G138" s="49">
        <v>331746</v>
      </c>
      <c r="H138" s="49">
        <v>326073</v>
      </c>
      <c r="I138" s="49">
        <v>289542</v>
      </c>
      <c r="J138" s="49">
        <v>202260.81000000006</v>
      </c>
      <c r="K138" s="49">
        <v>173568.66000000032</v>
      </c>
      <c r="L138" s="49">
        <v>33037.908999999891</v>
      </c>
      <c r="M138" s="49">
        <v>15850.489000000001</v>
      </c>
      <c r="N138" s="49">
        <v>77027.985999999757</v>
      </c>
      <c r="O138" s="49">
        <f>+AVERAGE($L$138:$N$138)</f>
        <v>41972.127999999881</v>
      </c>
      <c r="P138" s="408"/>
      <c r="Q138" s="408"/>
      <c r="R138" s="408"/>
      <c r="S138" s="408"/>
      <c r="T138" s="408"/>
      <c r="U138" s="408"/>
      <c r="V138" s="408"/>
      <c r="W138" s="49">
        <f t="shared" ref="W138:AA138" si="93">+AVERAGE($L$138:$N$138)</f>
        <v>41972.127999999881</v>
      </c>
      <c r="X138" s="49">
        <f t="shared" si="93"/>
        <v>41972.127999999881</v>
      </c>
      <c r="Y138" s="49">
        <f t="shared" si="93"/>
        <v>41972.127999999881</v>
      </c>
      <c r="Z138" s="49">
        <f t="shared" si="93"/>
        <v>41972.127999999881</v>
      </c>
      <c r="AA138" s="49">
        <f t="shared" si="93"/>
        <v>41972.127999999881</v>
      </c>
      <c r="AB138" s="26">
        <f t="shared" si="75"/>
        <v>22510.007469547985</v>
      </c>
    </row>
    <row r="139" spans="2:28" x14ac:dyDescent="0.3">
      <c r="B139" s="76" t="s">
        <v>326</v>
      </c>
      <c r="C139" s="76"/>
      <c r="D139" s="207"/>
      <c r="E139" s="207"/>
      <c r="F139" s="399">
        <f>+OM_EF_2017!G41</f>
        <v>0.52168886388014557</v>
      </c>
      <c r="G139" s="49"/>
      <c r="H139" s="49"/>
      <c r="I139" s="49"/>
      <c r="J139" s="49"/>
      <c r="K139" s="49">
        <v>265758.58129</v>
      </c>
      <c r="L139" s="49">
        <v>313954.44199999998</v>
      </c>
      <c r="M139" s="49">
        <v>125500.57599999997</v>
      </c>
      <c r="N139" s="49">
        <v>239710.45899999986</v>
      </c>
      <c r="O139" s="49">
        <f>+AVERAGE($L$139:$N$139)</f>
        <v>226388.49233333324</v>
      </c>
      <c r="P139" s="408"/>
      <c r="Q139" s="408"/>
      <c r="R139" s="408"/>
      <c r="S139" s="408"/>
      <c r="T139" s="408"/>
      <c r="U139" s="408"/>
      <c r="V139" s="408"/>
      <c r="W139" s="49">
        <f t="shared" ref="W139:AA139" si="94">+AVERAGE($L$139:$N$139)</f>
        <v>226388.49233333324</v>
      </c>
      <c r="X139" s="49">
        <f t="shared" si="94"/>
        <v>226388.49233333324</v>
      </c>
      <c r="Y139" s="49">
        <f t="shared" si="94"/>
        <v>226388.49233333324</v>
      </c>
      <c r="Z139" s="49">
        <f t="shared" si="94"/>
        <v>226388.49233333324</v>
      </c>
      <c r="AA139" s="49">
        <f t="shared" si="94"/>
        <v>226388.49233333324</v>
      </c>
      <c r="AB139" s="26">
        <f t="shared" si="75"/>
        <v>118104.35536091567</v>
      </c>
    </row>
    <row r="140" spans="2:28" x14ac:dyDescent="0.3">
      <c r="B140" s="77" t="s">
        <v>18</v>
      </c>
      <c r="C140" s="77"/>
      <c r="D140" s="75"/>
      <c r="E140" s="75"/>
      <c r="F140" s="398">
        <f>+OM_EF_2017!G42</f>
        <v>0.60672648117717065</v>
      </c>
      <c r="G140" s="44">
        <v>743118.82019999996</v>
      </c>
      <c r="H140" s="44">
        <v>609577.55848999997</v>
      </c>
      <c r="I140" s="44">
        <v>772580.19999999972</v>
      </c>
      <c r="J140" s="44">
        <v>667630.60999999987</v>
      </c>
      <c r="K140" s="44">
        <v>815783.94000000006</v>
      </c>
      <c r="L140" s="44">
        <v>516330.15</v>
      </c>
      <c r="M140" s="44">
        <v>440398.8600000001</v>
      </c>
      <c r="N140" s="44">
        <v>552699.28999999992</v>
      </c>
      <c r="O140" s="44">
        <f>+AVERAGE($L$140:$N$140)</f>
        <v>503142.76666666666</v>
      </c>
      <c r="P140" s="409"/>
      <c r="Q140" s="409"/>
      <c r="R140" s="409"/>
      <c r="S140" s="409"/>
      <c r="T140" s="409"/>
      <c r="U140" s="409"/>
      <c r="V140" s="409"/>
      <c r="W140" s="409"/>
      <c r="X140" s="409"/>
      <c r="Y140" s="409"/>
      <c r="Z140" s="409"/>
      <c r="AA140" s="44">
        <f t="shared" ref="AA140" si="95">+AVERAGE($L$140:$N$140)</f>
        <v>503142.76666666666</v>
      </c>
      <c r="AB140" s="26">
        <f t="shared" si="75"/>
        <v>305270.04034941288</v>
      </c>
    </row>
    <row r="141" spans="2:28" x14ac:dyDescent="0.3">
      <c r="B141" s="76" t="s">
        <v>105</v>
      </c>
      <c r="C141" s="76"/>
      <c r="D141" s="207"/>
      <c r="E141" s="207"/>
      <c r="F141" s="399">
        <f>+OM_EF_2017!G43</f>
        <v>0.59295201252000207</v>
      </c>
      <c r="G141" s="49"/>
      <c r="H141" s="111"/>
      <c r="I141" s="111"/>
      <c r="J141" s="111"/>
      <c r="K141" s="111"/>
      <c r="L141" s="111"/>
      <c r="M141" s="111"/>
      <c r="N141" s="111"/>
      <c r="O141" s="111"/>
      <c r="P141" s="111"/>
      <c r="Q141" s="111"/>
      <c r="R141" s="111"/>
      <c r="S141" s="111"/>
      <c r="T141" s="111"/>
      <c r="U141" s="111"/>
      <c r="V141" s="111"/>
      <c r="W141" s="111"/>
      <c r="X141" s="111"/>
      <c r="Y141" s="111"/>
      <c r="Z141" s="111"/>
      <c r="AA141" s="111"/>
      <c r="AB141" s="26">
        <f t="shared" si="75"/>
        <v>0</v>
      </c>
    </row>
    <row r="142" spans="2:28" x14ac:dyDescent="0.3">
      <c r="B142" s="76" t="s">
        <v>106</v>
      </c>
      <c r="C142" s="76"/>
      <c r="D142" s="207"/>
      <c r="E142" s="207"/>
      <c r="F142" s="399">
        <f>+OM_EF_2017!G44</f>
        <v>0.64048050783379351</v>
      </c>
      <c r="G142" s="53"/>
      <c r="H142" s="53"/>
      <c r="I142" s="269"/>
      <c r="J142" s="269"/>
      <c r="K142" s="269"/>
      <c r="L142" s="269"/>
      <c r="M142" s="269"/>
      <c r="N142" s="269"/>
      <c r="O142" s="269"/>
      <c r="P142" s="269"/>
      <c r="Q142" s="269"/>
      <c r="R142" s="269"/>
      <c r="S142" s="269"/>
      <c r="T142" s="269"/>
      <c r="U142" s="269"/>
      <c r="V142" s="269"/>
      <c r="W142" s="269"/>
      <c r="X142" s="269"/>
      <c r="Y142" s="269"/>
      <c r="Z142" s="269"/>
      <c r="AA142" s="269"/>
      <c r="AB142" s="26">
        <f t="shared" si="75"/>
        <v>0</v>
      </c>
    </row>
    <row r="143" spans="2:28" x14ac:dyDescent="0.3">
      <c r="B143" s="76" t="s">
        <v>315</v>
      </c>
      <c r="C143" s="76"/>
      <c r="D143" s="207"/>
      <c r="E143" s="207"/>
      <c r="F143" s="399">
        <f>+OM_EF_2017!G45</f>
        <v>0.56087175789973454</v>
      </c>
      <c r="G143" s="53"/>
      <c r="H143" s="53">
        <v>7408.7086380000001</v>
      </c>
      <c r="I143" s="53"/>
      <c r="J143" s="53"/>
      <c r="K143" s="53"/>
      <c r="L143" s="53"/>
      <c r="M143" s="53"/>
      <c r="N143" s="53"/>
      <c r="O143" s="53"/>
      <c r="P143" s="53"/>
      <c r="Q143" s="53"/>
      <c r="R143" s="53"/>
      <c r="S143" s="53"/>
      <c r="T143" s="53"/>
      <c r="U143" s="53"/>
      <c r="V143" s="53"/>
      <c r="W143" s="53"/>
      <c r="X143" s="53"/>
      <c r="Y143" s="53"/>
      <c r="Z143" s="53"/>
      <c r="AA143" s="53"/>
      <c r="AB143" s="26">
        <f t="shared" si="75"/>
        <v>0</v>
      </c>
    </row>
    <row r="144" spans="2:28" x14ac:dyDescent="0.3">
      <c r="B144" s="77" t="s">
        <v>23</v>
      </c>
      <c r="C144" s="77"/>
      <c r="D144" s="75"/>
      <c r="E144" s="75"/>
      <c r="F144" s="398">
        <f>+OM_EF_2017!G46</f>
        <v>0</v>
      </c>
      <c r="G144" s="44"/>
      <c r="H144" s="44"/>
      <c r="I144" s="44"/>
      <c r="J144" s="44"/>
      <c r="K144" s="44"/>
      <c r="L144" s="44"/>
      <c r="M144" s="44"/>
      <c r="N144" s="44"/>
      <c r="O144" s="44"/>
      <c r="P144" s="44"/>
      <c r="Q144" s="44"/>
      <c r="R144" s="44"/>
      <c r="S144" s="44"/>
      <c r="T144" s="44"/>
      <c r="U144" s="44"/>
      <c r="V144" s="44"/>
      <c r="W144" s="44"/>
      <c r="X144" s="44"/>
      <c r="Y144" s="44"/>
      <c r="Z144" s="44"/>
      <c r="AA144" s="44"/>
      <c r="AB144" s="26">
        <f t="shared" si="75"/>
        <v>0</v>
      </c>
    </row>
    <row r="145" spans="2:28" x14ac:dyDescent="0.3">
      <c r="B145" s="76" t="s">
        <v>107</v>
      </c>
      <c r="C145" s="76"/>
      <c r="D145" s="207"/>
      <c r="E145" s="207"/>
      <c r="F145" s="399">
        <f>+OM_EF_2017!G47</f>
        <v>0.59224174858007006</v>
      </c>
      <c r="G145" s="53">
        <v>94768</v>
      </c>
      <c r="H145" s="53">
        <v>186730</v>
      </c>
      <c r="I145" s="53">
        <v>193238</v>
      </c>
      <c r="J145" s="53">
        <v>176801</v>
      </c>
      <c r="K145" s="53">
        <v>173128</v>
      </c>
      <c r="L145" s="53">
        <v>75240</v>
      </c>
      <c r="M145" s="53">
        <v>152450</v>
      </c>
      <c r="N145" s="53">
        <v>36192</v>
      </c>
      <c r="O145" s="49">
        <f>+AVERAGE($L$145:$N$145)</f>
        <v>87960.666666666672</v>
      </c>
      <c r="P145" s="408"/>
      <c r="Q145" s="408"/>
      <c r="R145" s="408"/>
      <c r="S145" s="408"/>
      <c r="T145" s="408"/>
      <c r="U145" s="408"/>
      <c r="V145" s="408"/>
      <c r="W145" s="408"/>
      <c r="X145" s="49">
        <f t="shared" ref="X145:AA145" si="96">+AVERAGE($L$145:$N$145)</f>
        <v>87960.666666666672</v>
      </c>
      <c r="Y145" s="49">
        <f t="shared" si="96"/>
        <v>87960.666666666672</v>
      </c>
      <c r="Z145" s="49">
        <f t="shared" si="96"/>
        <v>87960.666666666672</v>
      </c>
      <c r="AA145" s="49">
        <f t="shared" si="96"/>
        <v>87960.666666666672</v>
      </c>
      <c r="AB145" s="26">
        <f t="shared" si="75"/>
        <v>52093.979032935349</v>
      </c>
    </row>
    <row r="146" spans="2:28" x14ac:dyDescent="0.3">
      <c r="B146" s="76" t="s">
        <v>108</v>
      </c>
      <c r="C146" s="76"/>
      <c r="D146" s="207"/>
      <c r="E146" s="207"/>
      <c r="F146" s="399">
        <f>+OM_EF_2017!G48</f>
        <v>0.59170905062512091</v>
      </c>
      <c r="G146" s="53">
        <v>123773.2823375</v>
      </c>
      <c r="H146" s="53">
        <v>193364</v>
      </c>
      <c r="I146" s="53">
        <v>193432</v>
      </c>
      <c r="J146" s="53">
        <v>175773</v>
      </c>
      <c r="K146" s="53">
        <v>165138</v>
      </c>
      <c r="L146" s="53">
        <v>85293</v>
      </c>
      <c r="M146" s="53">
        <v>168623</v>
      </c>
      <c r="N146" s="53">
        <v>52744</v>
      </c>
      <c r="O146" s="49">
        <f>+AVERAGE($L$146:$N$146)</f>
        <v>102220</v>
      </c>
      <c r="P146" s="408"/>
      <c r="Q146" s="408"/>
      <c r="R146" s="408"/>
      <c r="S146" s="408"/>
      <c r="T146" s="408"/>
      <c r="U146" s="408"/>
      <c r="V146" s="408"/>
      <c r="W146" s="408"/>
      <c r="X146" s="49">
        <f t="shared" ref="X146:AA146" si="97">+AVERAGE($L$146:$N$146)</f>
        <v>102220</v>
      </c>
      <c r="Y146" s="49">
        <f t="shared" si="97"/>
        <v>102220</v>
      </c>
      <c r="Z146" s="49">
        <f t="shared" si="97"/>
        <v>102220</v>
      </c>
      <c r="AA146" s="49">
        <f t="shared" si="97"/>
        <v>102220</v>
      </c>
      <c r="AB146" s="26">
        <f t="shared" si="75"/>
        <v>60484.499154899859</v>
      </c>
    </row>
    <row r="147" spans="2:28" x14ac:dyDescent="0.3">
      <c r="B147" s="76" t="s">
        <v>109</v>
      </c>
      <c r="C147" s="76"/>
      <c r="D147" s="207"/>
      <c r="E147" s="207"/>
      <c r="F147" s="399">
        <f>+OM_EF_2017!G49</f>
        <v>0.59176823928678191</v>
      </c>
      <c r="G147" s="53">
        <v>109541.1267625</v>
      </c>
      <c r="H147" s="53">
        <v>170825</v>
      </c>
      <c r="I147" s="53">
        <v>196674</v>
      </c>
      <c r="J147" s="53">
        <v>195325</v>
      </c>
      <c r="K147" s="53">
        <v>173443</v>
      </c>
      <c r="L147" s="53">
        <v>74301</v>
      </c>
      <c r="M147" s="53">
        <v>182321</v>
      </c>
      <c r="N147" s="53">
        <v>60409</v>
      </c>
      <c r="O147" s="49">
        <f>+AVERAGE($L$147:$N$147)</f>
        <v>105677</v>
      </c>
      <c r="P147" s="408"/>
      <c r="Q147" s="408"/>
      <c r="R147" s="408"/>
      <c r="S147" s="408"/>
      <c r="T147" s="408"/>
      <c r="U147" s="408"/>
      <c r="V147" s="408"/>
      <c r="W147" s="408"/>
      <c r="X147" s="49">
        <f t="shared" ref="X147:AA147" si="98">+AVERAGE($L$147:$N$147)</f>
        <v>105677</v>
      </c>
      <c r="Y147" s="49">
        <f t="shared" si="98"/>
        <v>105677</v>
      </c>
      <c r="Z147" s="49">
        <f t="shared" si="98"/>
        <v>105677</v>
      </c>
      <c r="AA147" s="49">
        <f t="shared" si="98"/>
        <v>105677</v>
      </c>
      <c r="AB147" s="26">
        <f t="shared" si="75"/>
        <v>62536.292223109253</v>
      </c>
    </row>
    <row r="148" spans="2:28" x14ac:dyDescent="0.3">
      <c r="B148" s="76" t="s">
        <v>110</v>
      </c>
      <c r="C148" s="76"/>
      <c r="D148" s="207"/>
      <c r="E148" s="207"/>
      <c r="F148" s="399">
        <f>+OM_EF_2017!G50</f>
        <v>0.59703603017461182</v>
      </c>
      <c r="G148" s="53">
        <v>77401.001000000004</v>
      </c>
      <c r="H148" s="53">
        <v>187411</v>
      </c>
      <c r="I148" s="53">
        <v>183871</v>
      </c>
      <c r="J148" s="53">
        <v>186743</v>
      </c>
      <c r="K148" s="53">
        <v>193663</v>
      </c>
      <c r="L148" s="53">
        <v>89367</v>
      </c>
      <c r="M148" s="53">
        <v>182872</v>
      </c>
      <c r="N148" s="53">
        <v>46175</v>
      </c>
      <c r="O148" s="49">
        <f>+AVERAGE($L$148:$N$148)</f>
        <v>106138</v>
      </c>
      <c r="P148" s="408"/>
      <c r="Q148" s="408"/>
      <c r="R148" s="408"/>
      <c r="S148" s="408"/>
      <c r="T148" s="408"/>
      <c r="U148" s="408"/>
      <c r="V148" s="408"/>
      <c r="W148" s="408"/>
      <c r="X148" s="49">
        <f t="shared" ref="X148:AA148" si="99">+AVERAGE($L$148:$N$148)</f>
        <v>106138</v>
      </c>
      <c r="Y148" s="49">
        <f t="shared" si="99"/>
        <v>106138</v>
      </c>
      <c r="Z148" s="49">
        <f t="shared" si="99"/>
        <v>106138</v>
      </c>
      <c r="AA148" s="49">
        <f t="shared" si="99"/>
        <v>106138</v>
      </c>
      <c r="AB148" s="26">
        <f t="shared" si="75"/>
        <v>63368.210170672952</v>
      </c>
    </row>
    <row r="149" spans="2:28" x14ac:dyDescent="0.3">
      <c r="B149" s="77" t="s">
        <v>16</v>
      </c>
      <c r="C149" s="77"/>
      <c r="D149" s="75"/>
      <c r="E149" s="75"/>
      <c r="F149" s="398">
        <f>+OM_EF_2017!G51</f>
        <v>0</v>
      </c>
      <c r="G149" s="61"/>
      <c r="H149" s="61"/>
      <c r="I149" s="61"/>
      <c r="J149" s="61"/>
      <c r="K149" s="61"/>
      <c r="L149" s="61"/>
      <c r="M149" s="61"/>
      <c r="N149" s="61"/>
      <c r="O149" s="61"/>
      <c r="P149" s="61"/>
      <c r="Q149" s="61"/>
      <c r="R149" s="61"/>
      <c r="S149" s="61"/>
      <c r="T149" s="61"/>
      <c r="U149" s="61"/>
      <c r="V149" s="61"/>
      <c r="W149" s="61"/>
      <c r="X149" s="61"/>
      <c r="Y149" s="61"/>
      <c r="Z149" s="61"/>
      <c r="AA149" s="61"/>
      <c r="AB149" s="26">
        <f t="shared" si="75"/>
        <v>0</v>
      </c>
    </row>
    <row r="150" spans="2:28" x14ac:dyDescent="0.3">
      <c r="B150" s="76" t="s">
        <v>78</v>
      </c>
      <c r="C150" s="76"/>
      <c r="D150" s="207"/>
      <c r="E150" s="207"/>
      <c r="F150" s="399">
        <f>+OM_EF_2017!G52</f>
        <v>0.70854746874395536</v>
      </c>
      <c r="G150" s="49">
        <v>54977.579999999987</v>
      </c>
      <c r="H150" s="49">
        <v>31424.37</v>
      </c>
      <c r="I150" s="49">
        <v>44186.280000000006</v>
      </c>
      <c r="J150" s="49">
        <v>6585.9599999999991</v>
      </c>
      <c r="K150" s="49">
        <v>15638.4</v>
      </c>
      <c r="L150" s="49">
        <v>14091.300000000003</v>
      </c>
      <c r="M150" s="49">
        <v>42919.199999999997</v>
      </c>
      <c r="N150" s="49">
        <v>41459.700000000004</v>
      </c>
      <c r="O150" s="49">
        <f>+AVERAGE($L$150:$N$150)</f>
        <v>32823.4</v>
      </c>
      <c r="P150" s="408"/>
      <c r="Q150" s="408"/>
      <c r="R150" s="408"/>
      <c r="S150" s="408"/>
      <c r="T150" s="408"/>
      <c r="U150" s="408"/>
      <c r="V150" s="408"/>
      <c r="W150" s="408"/>
      <c r="X150" s="408"/>
      <c r="Y150" s="408"/>
      <c r="Z150" s="408"/>
      <c r="AA150" s="49">
        <f t="shared" ref="AA150" si="100">+AVERAGE($L$150:$N$150)</f>
        <v>32823.4</v>
      </c>
      <c r="AB150" s="26">
        <f t="shared" si="75"/>
        <v>23256.936985570344</v>
      </c>
    </row>
    <row r="151" spans="2:28" x14ac:dyDescent="0.3">
      <c r="B151" s="76" t="s">
        <v>79</v>
      </c>
      <c r="C151" s="76"/>
      <c r="D151" s="207"/>
      <c r="E151" s="207"/>
      <c r="F151" s="399">
        <f>+OM_EF_2017!G53</f>
        <v>0.74548119362042586</v>
      </c>
      <c r="G151" s="49">
        <v>44343.569999999992</v>
      </c>
      <c r="H151" s="49">
        <v>38362.5</v>
      </c>
      <c r="I151" s="49">
        <v>31007.909999999996</v>
      </c>
      <c r="J151" s="49">
        <v>4921.4399999999996</v>
      </c>
      <c r="K151" s="49">
        <v>14575.08</v>
      </c>
      <c r="L151" s="49">
        <v>10209.6</v>
      </c>
      <c r="M151" s="49">
        <v>28229.760000000002</v>
      </c>
      <c r="N151" s="49">
        <v>20603.039999999997</v>
      </c>
      <c r="O151" s="49">
        <f>+AVERAGE($L$151:$N$151)</f>
        <v>19680.8</v>
      </c>
      <c r="P151" s="408"/>
      <c r="Q151" s="408"/>
      <c r="R151" s="408"/>
      <c r="S151" s="408"/>
      <c r="T151" s="408"/>
      <c r="U151" s="408"/>
      <c r="V151" s="408"/>
      <c r="W151" s="408"/>
      <c r="X151" s="408"/>
      <c r="Y151" s="408"/>
      <c r="Z151" s="408"/>
      <c r="AA151" s="49">
        <f t="shared" ref="AA151" si="101">+AVERAGE($L$151:$N$151)</f>
        <v>19680.8</v>
      </c>
      <c r="AB151" s="26">
        <f t="shared" ref="AB151:AB186" si="102">+F151*O151</f>
        <v>14671.666275404878</v>
      </c>
    </row>
    <row r="152" spans="2:28" x14ac:dyDescent="0.3">
      <c r="B152" s="76" t="s">
        <v>80</v>
      </c>
      <c r="C152" s="76"/>
      <c r="D152" s="207"/>
      <c r="E152" s="207"/>
      <c r="F152" s="399">
        <f>+OM_EF_2017!G54</f>
        <v>0.75962728375740729</v>
      </c>
      <c r="G152" s="49">
        <v>35434.590000000004</v>
      </c>
      <c r="H152" s="49">
        <v>65185.067999999999</v>
      </c>
      <c r="I152" s="49">
        <v>40516.368000000002</v>
      </c>
      <c r="J152" s="49">
        <v>17730.18</v>
      </c>
      <c r="K152" s="49">
        <v>24451.464</v>
      </c>
      <c r="L152" s="49">
        <v>13814.243999999999</v>
      </c>
      <c r="M152" s="49">
        <v>43634.928000000007</v>
      </c>
      <c r="N152" s="49">
        <v>24144.995999999996</v>
      </c>
      <c r="O152" s="408"/>
      <c r="P152" s="408"/>
      <c r="Q152" s="408"/>
      <c r="R152" s="408"/>
      <c r="S152" s="408"/>
      <c r="T152" s="408"/>
      <c r="U152" s="408"/>
      <c r="V152" s="408"/>
      <c r="W152" s="408"/>
      <c r="X152" s="408"/>
      <c r="Y152" s="408"/>
      <c r="Z152" s="408"/>
      <c r="AA152" s="408"/>
      <c r="AB152" s="26">
        <f t="shared" si="102"/>
        <v>0</v>
      </c>
    </row>
    <row r="153" spans="2:28" x14ac:dyDescent="0.3">
      <c r="B153" s="76" t="s">
        <v>81</v>
      </c>
      <c r="C153" s="76"/>
      <c r="D153" s="207"/>
      <c r="E153" s="207"/>
      <c r="F153" s="399">
        <f>+OM_EF_2017!G55</f>
        <v>0.74838143804181545</v>
      </c>
      <c r="G153" s="49">
        <v>47583.179999999993</v>
      </c>
      <c r="H153" s="49">
        <v>73021.77</v>
      </c>
      <c r="I153" s="49">
        <v>79926.345000000001</v>
      </c>
      <c r="J153" s="49">
        <v>32721.119999999995</v>
      </c>
      <c r="K153" s="49">
        <v>52400.755703329996</v>
      </c>
      <c r="L153" s="49">
        <v>49910.714999999997</v>
      </c>
      <c r="M153" s="49">
        <v>73438.604999999996</v>
      </c>
      <c r="N153" s="49">
        <v>47740.184999999998</v>
      </c>
      <c r="O153" s="408">
        <v>11036.548878519832</v>
      </c>
      <c r="P153" s="408"/>
      <c r="Q153" s="408"/>
      <c r="R153" s="408"/>
      <c r="S153" s="408"/>
      <c r="T153" s="408"/>
      <c r="U153" s="408"/>
      <c r="V153" s="408"/>
      <c r="W153" s="408"/>
      <c r="X153" s="408"/>
      <c r="Y153" s="408"/>
      <c r="Z153" s="408"/>
      <c r="AA153" s="408">
        <v>36445.257578979283</v>
      </c>
      <c r="AB153" s="26">
        <f t="shared" si="102"/>
        <v>8259.5483207254583</v>
      </c>
    </row>
    <row r="154" spans="2:28" x14ac:dyDescent="0.3">
      <c r="B154" s="76" t="s">
        <v>118</v>
      </c>
      <c r="C154" s="76"/>
      <c r="D154" s="207"/>
      <c r="E154" s="207"/>
      <c r="F154" s="399"/>
      <c r="G154" s="49">
        <v>0</v>
      </c>
      <c r="H154" s="49">
        <v>0</v>
      </c>
      <c r="I154" s="49">
        <v>0</v>
      </c>
      <c r="J154" s="49">
        <v>0</v>
      </c>
      <c r="K154" s="49">
        <v>0</v>
      </c>
      <c r="L154" s="49">
        <v>0</v>
      </c>
      <c r="M154" s="49">
        <v>0</v>
      </c>
      <c r="N154" s="49">
        <v>0</v>
      </c>
      <c r="O154" s="49">
        <f t="shared" ref="O154:O171" si="103">+AVERAGE(L154:N154)</f>
        <v>0</v>
      </c>
      <c r="P154" s="49">
        <f t="shared" ref="P154:AA154" si="104">+O154</f>
        <v>0</v>
      </c>
      <c r="Q154" s="49">
        <f t="shared" si="104"/>
        <v>0</v>
      </c>
      <c r="R154" s="49">
        <f t="shared" si="104"/>
        <v>0</v>
      </c>
      <c r="S154" s="49">
        <f t="shared" si="104"/>
        <v>0</v>
      </c>
      <c r="T154" s="49">
        <f t="shared" si="104"/>
        <v>0</v>
      </c>
      <c r="U154" s="49">
        <f t="shared" si="104"/>
        <v>0</v>
      </c>
      <c r="V154" s="49">
        <f t="shared" si="104"/>
        <v>0</v>
      </c>
      <c r="W154" s="49">
        <f t="shared" si="104"/>
        <v>0</v>
      </c>
      <c r="X154" s="49">
        <f t="shared" si="104"/>
        <v>0</v>
      </c>
      <c r="Y154" s="49">
        <f t="shared" si="104"/>
        <v>0</v>
      </c>
      <c r="Z154" s="49">
        <f t="shared" si="104"/>
        <v>0</v>
      </c>
      <c r="AA154" s="49">
        <f t="shared" si="104"/>
        <v>0</v>
      </c>
      <c r="AB154" s="26">
        <f t="shared" si="102"/>
        <v>0</v>
      </c>
    </row>
    <row r="155" spans="2:28" x14ac:dyDescent="0.3">
      <c r="B155" s="76" t="s">
        <v>82</v>
      </c>
      <c r="C155" s="76"/>
      <c r="D155" s="207"/>
      <c r="E155" s="207"/>
      <c r="F155" s="399">
        <f>+OM_EF_2017!G56</f>
        <v>0.59602982292637463</v>
      </c>
      <c r="G155" s="49">
        <v>0</v>
      </c>
      <c r="H155" s="49">
        <v>0</v>
      </c>
      <c r="I155" s="49">
        <v>345670.74</v>
      </c>
      <c r="J155" s="49">
        <v>479429.598</v>
      </c>
      <c r="K155" s="49">
        <v>420127.47135156026</v>
      </c>
      <c r="L155" s="49">
        <v>459226.69199999992</v>
      </c>
      <c r="M155" s="49">
        <v>240047.45999999993</v>
      </c>
      <c r="N155" s="49">
        <v>381288.42</v>
      </c>
      <c r="O155" s="49">
        <f>+AVERAGE($L$155:$N$155)</f>
        <v>360187.52399999998</v>
      </c>
      <c r="P155" s="408"/>
      <c r="Q155" s="408"/>
      <c r="R155" s="408"/>
      <c r="S155" s="408"/>
      <c r="T155" s="408"/>
      <c r="U155" s="408"/>
      <c r="V155" s="408"/>
      <c r="W155" s="408"/>
      <c r="X155" s="49"/>
      <c r="Y155" s="49">
        <f t="shared" ref="Y155:AA155" si="105">+AVERAGE($L$155:$N$155)</f>
        <v>360187.52399999998</v>
      </c>
      <c r="Z155" s="49">
        <f t="shared" si="105"/>
        <v>360187.52399999998</v>
      </c>
      <c r="AA155" s="49">
        <f t="shared" si="105"/>
        <v>360187.52399999998</v>
      </c>
      <c r="AB155" s="26">
        <f t="shared" si="102"/>
        <v>214682.50615000929</v>
      </c>
    </row>
    <row r="156" spans="2:28" x14ac:dyDescent="0.3">
      <c r="B156" s="76" t="s">
        <v>83</v>
      </c>
      <c r="C156" s="76"/>
      <c r="D156" s="207"/>
      <c r="E156" s="207"/>
      <c r="F156" s="399">
        <f>+OM_EF_2017!G57</f>
        <v>0.59602982292637463</v>
      </c>
      <c r="G156" s="49">
        <v>304167.35200000001</v>
      </c>
      <c r="H156" s="49">
        <v>362328.33600000001</v>
      </c>
      <c r="I156" s="49">
        <v>425317.902</v>
      </c>
      <c r="J156" s="49">
        <v>461289.34800000006</v>
      </c>
      <c r="K156" s="49">
        <v>412122.105063011</v>
      </c>
      <c r="L156" s="49">
        <v>378806.54399999999</v>
      </c>
      <c r="M156" s="49">
        <v>386168.79599999997</v>
      </c>
      <c r="N156" s="49">
        <v>365210.38799999998</v>
      </c>
      <c r="O156" s="49">
        <f>+AVERAGE($L$156:$N$156)</f>
        <v>376728.57599999994</v>
      </c>
      <c r="P156" s="408"/>
      <c r="Q156" s="408"/>
      <c r="R156" s="408"/>
      <c r="S156" s="408"/>
      <c r="T156" s="408"/>
      <c r="U156" s="408"/>
      <c r="V156" s="408"/>
      <c r="W156" s="408"/>
      <c r="X156" s="49">
        <v>115761.72883552179</v>
      </c>
      <c r="Y156" s="49">
        <f t="shared" ref="Y156:AA156" si="106">+AVERAGE($L$156:$N$156)</f>
        <v>376728.57599999994</v>
      </c>
      <c r="Z156" s="49">
        <f t="shared" si="106"/>
        <v>376728.57599999994</v>
      </c>
      <c r="AA156" s="49">
        <f t="shared" si="106"/>
        <v>376728.57599999994</v>
      </c>
      <c r="AB156" s="26">
        <f t="shared" si="102"/>
        <v>224541.46644458524</v>
      </c>
    </row>
    <row r="157" spans="2:28" x14ac:dyDescent="0.3">
      <c r="B157" s="76" t="s">
        <v>84</v>
      </c>
      <c r="C157" s="76"/>
      <c r="D157" s="207"/>
      <c r="E157" s="207"/>
      <c r="F157" s="399">
        <f>+OM_EF_2017!G58</f>
        <v>0.59602982292637463</v>
      </c>
      <c r="G157" s="49">
        <v>274064.72799999994</v>
      </c>
      <c r="H157" s="49">
        <v>328187.05200000003</v>
      </c>
      <c r="I157" s="49">
        <v>215762.25825000004</v>
      </c>
      <c r="J157" s="49">
        <v>201328.714125</v>
      </c>
      <c r="K157" s="49">
        <v>301526.55250000005</v>
      </c>
      <c r="L157" s="49">
        <v>234237.29225000003</v>
      </c>
      <c r="M157" s="49">
        <v>299524.30199999997</v>
      </c>
      <c r="N157" s="49">
        <v>149744.47925</v>
      </c>
      <c r="O157" s="49">
        <f>+AVERAGE($L$157:$N$157)</f>
        <v>227835.35783333331</v>
      </c>
      <c r="P157" s="408"/>
      <c r="Q157" s="408"/>
      <c r="R157" s="408"/>
      <c r="S157" s="408"/>
      <c r="T157" s="408"/>
      <c r="U157" s="408"/>
      <c r="V157" s="408"/>
      <c r="W157" s="408"/>
      <c r="X157" s="49">
        <f t="shared" ref="X157:AA157" si="107">+AVERAGE($L$157:$N$157)</f>
        <v>227835.35783333331</v>
      </c>
      <c r="Y157" s="49">
        <f t="shared" si="107"/>
        <v>227835.35783333331</v>
      </c>
      <c r="Z157" s="49">
        <f t="shared" si="107"/>
        <v>227835.35783333331</v>
      </c>
      <c r="AA157" s="49">
        <f t="shared" si="107"/>
        <v>227835.35783333331</v>
      </c>
      <c r="AB157" s="26">
        <f t="shared" si="102"/>
        <v>135796.66798576884</v>
      </c>
    </row>
    <row r="158" spans="2:28" x14ac:dyDescent="0.3">
      <c r="B158" s="76" t="s">
        <v>314</v>
      </c>
      <c r="C158" s="76"/>
      <c r="D158" s="207"/>
      <c r="E158" s="207"/>
      <c r="F158" s="399">
        <f>+OM_EF_2017!G59</f>
        <v>0.426809439237546</v>
      </c>
      <c r="G158" s="49">
        <v>386364.63308200007</v>
      </c>
      <c r="H158" s="49">
        <v>362853.24075</v>
      </c>
      <c r="I158" s="49">
        <v>369449.51400000002</v>
      </c>
      <c r="J158" s="49">
        <v>616226.28899999999</v>
      </c>
      <c r="K158" s="49">
        <v>523552.59600000002</v>
      </c>
      <c r="L158" s="49">
        <v>544179.25994216464</v>
      </c>
      <c r="M158" s="49">
        <v>222713.652</v>
      </c>
      <c r="N158" s="49">
        <v>361213.69200000004</v>
      </c>
      <c r="O158" s="49">
        <f>+AVERAGE($L$158:$N$158)</f>
        <v>376035.53464738821</v>
      </c>
      <c r="P158" s="49">
        <f t="shared" ref="P158:AA158" si="108">+AVERAGE($L$158:$N$158)</f>
        <v>376035.53464738821</v>
      </c>
      <c r="Q158" s="408"/>
      <c r="R158" s="408"/>
      <c r="S158" s="408"/>
      <c r="T158" s="408"/>
      <c r="U158" s="408"/>
      <c r="V158" s="408">
        <v>189084.27459123899</v>
      </c>
      <c r="W158" s="49">
        <f t="shared" si="108"/>
        <v>376035.53464738821</v>
      </c>
      <c r="X158" s="49">
        <f t="shared" si="108"/>
        <v>376035.53464738821</v>
      </c>
      <c r="Y158" s="49">
        <f t="shared" si="108"/>
        <v>376035.53464738821</v>
      </c>
      <c r="Z158" s="49">
        <f t="shared" si="108"/>
        <v>376035.53464738821</v>
      </c>
      <c r="AA158" s="49">
        <f t="shared" si="108"/>
        <v>376035.53464738821</v>
      </c>
      <c r="AB158" s="26">
        <f t="shared" si="102"/>
        <v>160495.51567624256</v>
      </c>
    </row>
    <row r="159" spans="2:28" x14ac:dyDescent="0.3">
      <c r="B159" s="77" t="s">
        <v>21</v>
      </c>
      <c r="C159" s="77"/>
      <c r="D159" s="75"/>
      <c r="E159" s="75"/>
      <c r="F159" s="398">
        <f>+OM_EF_2017!G60</f>
        <v>0</v>
      </c>
      <c r="G159" s="61"/>
      <c r="H159" s="61"/>
      <c r="I159" s="61"/>
      <c r="J159" s="61"/>
      <c r="K159" s="61"/>
      <c r="L159" s="61"/>
      <c r="M159" s="61"/>
      <c r="N159" s="61"/>
      <c r="O159" s="61"/>
      <c r="P159" s="61"/>
      <c r="Q159" s="61"/>
      <c r="R159" s="61"/>
      <c r="S159" s="61"/>
      <c r="T159" s="61"/>
      <c r="U159" s="61"/>
      <c r="V159" s="61"/>
      <c r="W159" s="61"/>
      <c r="X159" s="61"/>
      <c r="Y159" s="61"/>
      <c r="Z159" s="61"/>
      <c r="AA159" s="61"/>
      <c r="AB159" s="26">
        <f t="shared" si="102"/>
        <v>0</v>
      </c>
    </row>
    <row r="160" spans="2:28" x14ac:dyDescent="0.3">
      <c r="B160" s="76" t="s">
        <v>100</v>
      </c>
      <c r="C160" s="76"/>
      <c r="D160" s="207"/>
      <c r="E160" s="207"/>
      <c r="F160" s="399">
        <f>+OM_EF_2017!G61</f>
        <v>0.70197752729958329</v>
      </c>
      <c r="G160" s="49">
        <v>80691.735044999994</v>
      </c>
      <c r="H160" s="49">
        <v>79540.577999999994</v>
      </c>
      <c r="I160" s="49">
        <v>60267.497718999999</v>
      </c>
      <c r="J160" s="49">
        <v>84986.583595136995</v>
      </c>
      <c r="K160" s="49">
        <v>61003.532321999912</v>
      </c>
      <c r="L160" s="49">
        <v>79662.397554113864</v>
      </c>
      <c r="M160" s="49">
        <v>76545.155212149999</v>
      </c>
      <c r="N160" s="49">
        <v>41016.303</v>
      </c>
      <c r="O160" s="49">
        <f>+AVERAGE($L$160:$N$160)</f>
        <v>65741.285255421288</v>
      </c>
      <c r="P160" s="408"/>
      <c r="Q160" s="408"/>
      <c r="R160" s="408"/>
      <c r="S160" s="408"/>
      <c r="T160" s="408"/>
      <c r="U160" s="408"/>
      <c r="V160" s="408"/>
      <c r="W160" s="408"/>
      <c r="X160" s="408"/>
      <c r="Y160" s="408"/>
      <c r="Z160" s="49">
        <f t="shared" ref="Z160:AA160" si="109">+AVERAGE($L$160:$N$160)</f>
        <v>65741.285255421288</v>
      </c>
      <c r="AA160" s="49">
        <f t="shared" si="109"/>
        <v>65741.285255421288</v>
      </c>
      <c r="AB160" s="26">
        <f t="shared" si="102"/>
        <v>46148.904865097189</v>
      </c>
    </row>
    <row r="161" spans="2:28" x14ac:dyDescent="0.3">
      <c r="B161" s="77" t="s">
        <v>22</v>
      </c>
      <c r="C161" s="77"/>
      <c r="D161" s="75"/>
      <c r="E161" s="75"/>
      <c r="F161" s="398">
        <f>+OM_EF_2017!G62</f>
        <v>0</v>
      </c>
      <c r="G161" s="61"/>
      <c r="H161" s="61"/>
      <c r="I161" s="61"/>
      <c r="J161" s="61"/>
      <c r="K161" s="61"/>
      <c r="L161" s="61"/>
      <c r="M161" s="61"/>
      <c r="N161" s="61"/>
      <c r="O161" s="61"/>
      <c r="P161" s="61"/>
      <c r="Q161" s="61"/>
      <c r="R161" s="61"/>
      <c r="S161" s="61"/>
      <c r="T161" s="61"/>
      <c r="U161" s="61"/>
      <c r="V161" s="61"/>
      <c r="W161" s="61"/>
      <c r="X161" s="61"/>
      <c r="Y161" s="61"/>
      <c r="Z161" s="61"/>
      <c r="AA161" s="61"/>
      <c r="AB161" s="26">
        <f t="shared" si="102"/>
        <v>0</v>
      </c>
    </row>
    <row r="162" spans="2:28" x14ac:dyDescent="0.3">
      <c r="B162" s="76" t="s">
        <v>111</v>
      </c>
      <c r="C162" s="76"/>
      <c r="D162" s="207"/>
      <c r="E162" s="207"/>
      <c r="F162" s="399">
        <f>+OM_EF_2017!G63</f>
        <v>0.71464390089503949</v>
      </c>
      <c r="G162" s="49">
        <v>46977.265625</v>
      </c>
      <c r="H162" s="49">
        <v>50444.303124999999</v>
      </c>
      <c r="I162" s="49">
        <v>50792.947500000002</v>
      </c>
      <c r="J162" s="49">
        <v>25340.758313000002</v>
      </c>
      <c r="K162" s="49">
        <v>43520.745187</v>
      </c>
      <c r="L162" s="49">
        <v>0</v>
      </c>
      <c r="M162" s="49">
        <v>1793.82</v>
      </c>
      <c r="N162" s="49">
        <v>18.810000000000002</v>
      </c>
      <c r="O162" s="49">
        <f>+AVERAGE($L$162:$N$162)</f>
        <v>604.20999999999992</v>
      </c>
      <c r="P162" s="408"/>
      <c r="Q162" s="408"/>
      <c r="R162" s="49">
        <v>0</v>
      </c>
      <c r="S162" s="49">
        <v>0</v>
      </c>
      <c r="T162" s="49">
        <v>0</v>
      </c>
      <c r="U162" s="49">
        <v>0</v>
      </c>
      <c r="V162" s="49">
        <v>0</v>
      </c>
      <c r="W162" s="49">
        <v>0</v>
      </c>
      <c r="X162" s="49">
        <v>0</v>
      </c>
      <c r="Y162" s="49">
        <v>0</v>
      </c>
      <c r="Z162" s="49">
        <v>0</v>
      </c>
      <c r="AA162" s="49">
        <v>0</v>
      </c>
      <c r="AB162" s="26">
        <f t="shared" si="102"/>
        <v>431.79499135979177</v>
      </c>
    </row>
    <row r="163" spans="2:28" x14ac:dyDescent="0.3">
      <c r="B163" s="76" t="s">
        <v>112</v>
      </c>
      <c r="C163" s="76"/>
      <c r="D163" s="207"/>
      <c r="E163" s="207"/>
      <c r="F163" s="399">
        <f>+OM_EF_2017!G64</f>
        <v>0.7091985440222266</v>
      </c>
      <c r="G163" s="49">
        <v>47451.323000000004</v>
      </c>
      <c r="H163" s="49">
        <v>50578.209750000002</v>
      </c>
      <c r="I163" s="49">
        <v>52201.957000000002</v>
      </c>
      <c r="J163" s="49">
        <v>20555.564869999998</v>
      </c>
      <c r="K163" s="49">
        <v>46932.179499999998</v>
      </c>
      <c r="L163" s="49">
        <v>29966.794000000005</v>
      </c>
      <c r="M163" s="49">
        <v>14728.669187500001</v>
      </c>
      <c r="N163" s="49">
        <v>14455.24559</v>
      </c>
      <c r="O163" s="49">
        <f>+AVERAGE($L$163:$N$163)</f>
        <v>19716.902925833336</v>
      </c>
      <c r="P163" s="408"/>
      <c r="Q163" s="408"/>
      <c r="R163" s="49">
        <v>0</v>
      </c>
      <c r="S163" s="49">
        <v>0</v>
      </c>
      <c r="T163" s="49">
        <v>0</v>
      </c>
      <c r="U163" s="49">
        <v>0</v>
      </c>
      <c r="V163" s="49">
        <v>0</v>
      </c>
      <c r="W163" s="49">
        <v>0</v>
      </c>
      <c r="X163" s="49">
        <v>0</v>
      </c>
      <c r="Y163" s="49">
        <v>0</v>
      </c>
      <c r="Z163" s="49">
        <v>0</v>
      </c>
      <c r="AA163" s="49">
        <v>0</v>
      </c>
      <c r="AB163" s="26">
        <f t="shared" si="102"/>
        <v>13983.198847628581</v>
      </c>
    </row>
    <row r="164" spans="2:28" x14ac:dyDescent="0.3">
      <c r="B164" s="77" t="s">
        <v>17</v>
      </c>
      <c r="C164" s="77"/>
      <c r="D164" s="75"/>
      <c r="E164" s="75"/>
      <c r="F164" s="398">
        <f>+OM_EF_2017!G65</f>
        <v>0</v>
      </c>
      <c r="G164" s="61"/>
      <c r="H164" s="61"/>
      <c r="I164" s="61"/>
      <c r="J164" s="61"/>
      <c r="K164" s="61"/>
      <c r="L164" s="61"/>
      <c r="M164" s="61"/>
      <c r="N164" s="61"/>
      <c r="O164" s="61"/>
      <c r="P164" s="61"/>
      <c r="Q164" s="61"/>
      <c r="R164" s="61"/>
      <c r="S164" s="61"/>
      <c r="T164" s="61"/>
      <c r="U164" s="61"/>
      <c r="V164" s="61"/>
      <c r="W164" s="61"/>
      <c r="X164" s="61"/>
      <c r="Y164" s="61"/>
      <c r="Z164" s="61"/>
      <c r="AA164" s="61"/>
      <c r="AB164" s="26">
        <f t="shared" si="102"/>
        <v>0</v>
      </c>
    </row>
    <row r="165" spans="2:28" x14ac:dyDescent="0.3">
      <c r="B165" s="76" t="s">
        <v>85</v>
      </c>
      <c r="C165" s="76"/>
      <c r="D165" s="207"/>
      <c r="E165" s="207"/>
      <c r="F165" s="399">
        <f>+OM_EF_2017!G66</f>
        <v>0.70138564068297304</v>
      </c>
      <c r="G165" s="49">
        <v>73485.584999999992</v>
      </c>
      <c r="H165" s="49">
        <v>82841.692500000005</v>
      </c>
      <c r="I165" s="49">
        <v>69552.787499999991</v>
      </c>
      <c r="J165" s="49">
        <v>23800.942902800001</v>
      </c>
      <c r="K165" s="49">
        <v>44110.71</v>
      </c>
      <c r="L165" s="49">
        <v>44085.419999999991</v>
      </c>
      <c r="M165" s="49">
        <v>76414.35149999999</v>
      </c>
      <c r="N165" s="49">
        <v>77133.690000000017</v>
      </c>
      <c r="O165" s="49">
        <f>+AVERAGE($L$165:$N$165)</f>
        <v>65877.820499999987</v>
      </c>
      <c r="P165" s="408"/>
      <c r="Q165" s="408"/>
      <c r="R165" s="408"/>
      <c r="S165" s="408"/>
      <c r="T165" s="408"/>
      <c r="U165" s="408"/>
      <c r="V165" s="408"/>
      <c r="W165" s="408"/>
      <c r="X165" s="408"/>
      <c r="Y165" s="408"/>
      <c r="Z165" s="49">
        <f t="shared" ref="Z165:AA165" si="110">+AVERAGE($L$165:$N$165)</f>
        <v>65877.820499999987</v>
      </c>
      <c r="AA165" s="49">
        <f t="shared" si="110"/>
        <v>65877.820499999987</v>
      </c>
      <c r="AB165" s="26">
        <f t="shared" si="102"/>
        <v>46205.757338190386</v>
      </c>
    </row>
    <row r="166" spans="2:28" x14ac:dyDescent="0.3">
      <c r="B166" s="76" t="s">
        <v>86</v>
      </c>
      <c r="C166" s="76"/>
      <c r="D166" s="207"/>
      <c r="E166" s="207"/>
      <c r="F166" s="399">
        <f>+OM_EF_2017!G67</f>
        <v>0.69085005890731344</v>
      </c>
      <c r="G166" s="49">
        <v>86746.319999999992</v>
      </c>
      <c r="H166" s="49">
        <v>105667.14</v>
      </c>
      <c r="I166" s="49">
        <v>63985.62</v>
      </c>
      <c r="J166" s="49">
        <v>16188.9</v>
      </c>
      <c r="K166" s="49">
        <v>29892.711125046593</v>
      </c>
      <c r="L166" s="49">
        <v>35185.5</v>
      </c>
      <c r="M166" s="49">
        <v>69334.630499999999</v>
      </c>
      <c r="N166" s="49">
        <v>64466.459999999992</v>
      </c>
      <c r="O166" s="49">
        <f>+AVERAGE($L$166:$N$166)</f>
        <v>56328.863499999999</v>
      </c>
      <c r="P166" s="408"/>
      <c r="Q166" s="408"/>
      <c r="R166" s="408"/>
      <c r="S166" s="408"/>
      <c r="T166" s="408"/>
      <c r="U166" s="408"/>
      <c r="V166" s="408"/>
      <c r="W166" s="408"/>
      <c r="X166" s="408"/>
      <c r="Y166" s="49">
        <f t="shared" ref="Y166:AA166" si="111">+AVERAGE($L$166:$N$166)</f>
        <v>56328.863499999999</v>
      </c>
      <c r="Z166" s="49">
        <f t="shared" si="111"/>
        <v>56328.863499999999</v>
      </c>
      <c r="AA166" s="49">
        <f t="shared" si="111"/>
        <v>56328.863499999999</v>
      </c>
      <c r="AB166" s="26">
        <f t="shared" si="102"/>
        <v>38914.798667157018</v>
      </c>
    </row>
    <row r="167" spans="2:28" x14ac:dyDescent="0.3">
      <c r="B167" s="77" t="s">
        <v>24</v>
      </c>
      <c r="C167" s="77"/>
      <c r="D167" s="75"/>
      <c r="E167" s="75"/>
      <c r="F167" s="398">
        <f>+OM_EF_2017!G68</f>
        <v>0</v>
      </c>
      <c r="G167" s="61"/>
      <c r="H167" s="61"/>
      <c r="I167" s="61"/>
      <c r="J167" s="61"/>
      <c r="K167" s="61"/>
      <c r="L167" s="61"/>
      <c r="M167" s="61"/>
      <c r="N167" s="61"/>
      <c r="O167" s="61"/>
      <c r="P167" s="61"/>
      <c r="Q167" s="61"/>
      <c r="R167" s="61"/>
      <c r="S167" s="61"/>
      <c r="T167" s="61"/>
      <c r="U167" s="61"/>
      <c r="V167" s="408"/>
      <c r="W167" s="61"/>
      <c r="X167" s="61"/>
      <c r="Y167" s="61"/>
      <c r="Z167" s="61"/>
      <c r="AA167" s="61"/>
      <c r="AB167" s="26">
        <f t="shared" si="102"/>
        <v>0</v>
      </c>
    </row>
    <row r="168" spans="2:28" x14ac:dyDescent="0.3">
      <c r="B168" s="76" t="s">
        <v>327</v>
      </c>
      <c r="C168" s="76"/>
      <c r="D168" s="207"/>
      <c r="E168" s="207"/>
      <c r="F168" s="399">
        <f>+OM_EF_2017!G69</f>
        <v>0.55329560920712517</v>
      </c>
      <c r="G168" s="49"/>
      <c r="H168" s="49"/>
      <c r="I168" s="49"/>
      <c r="J168" s="49"/>
      <c r="K168" s="49">
        <v>84605.7</v>
      </c>
      <c r="L168" s="49">
        <v>283458</v>
      </c>
      <c r="M168" s="49">
        <v>327520.80560572003</v>
      </c>
      <c r="N168" s="49">
        <v>321801.02243377001</v>
      </c>
      <c r="O168" s="49">
        <f t="shared" si="103"/>
        <v>310926.6093464967</v>
      </c>
      <c r="P168" s="408"/>
      <c r="Q168" s="49"/>
      <c r="R168" s="49"/>
      <c r="S168" s="49"/>
      <c r="T168" s="49"/>
      <c r="U168" s="49"/>
      <c r="V168" s="49"/>
      <c r="W168" s="49"/>
      <c r="X168" s="49"/>
      <c r="Y168" s="49"/>
      <c r="Z168" s="49"/>
      <c r="AA168" s="49"/>
      <c r="AB168" s="26">
        <f t="shared" si="102"/>
        <v>172034.32773707571</v>
      </c>
    </row>
    <row r="169" spans="2:28" x14ac:dyDescent="0.3">
      <c r="B169" s="76" t="s">
        <v>328</v>
      </c>
      <c r="C169" s="76"/>
      <c r="D169" s="207"/>
      <c r="E169" s="207"/>
      <c r="F169" s="399">
        <f>+OM_EF_2017!G70</f>
        <v>0.55601828764353167</v>
      </c>
      <c r="G169" s="49"/>
      <c r="H169" s="49"/>
      <c r="I169" s="49"/>
      <c r="J169" s="49"/>
      <c r="K169" s="49">
        <v>129537</v>
      </c>
      <c r="L169" s="49">
        <v>256045</v>
      </c>
      <c r="M169" s="49">
        <v>313178.53026025603</v>
      </c>
      <c r="N169" s="49">
        <v>283832.34028472006</v>
      </c>
      <c r="O169" s="49">
        <f t="shared" si="103"/>
        <v>284351.95684832538</v>
      </c>
      <c r="P169" s="408"/>
      <c r="Q169" s="49"/>
      <c r="R169" s="49"/>
      <c r="S169" s="49"/>
      <c r="T169" s="49"/>
      <c r="U169" s="49"/>
      <c r="V169" s="49"/>
      <c r="W169" s="49"/>
      <c r="X169" s="49"/>
      <c r="Y169" s="49"/>
      <c r="Z169" s="49"/>
      <c r="AA169" s="49"/>
      <c r="AB169" s="26">
        <f t="shared" si="102"/>
        <v>158104.88813489329</v>
      </c>
    </row>
    <row r="170" spans="2:28" x14ac:dyDescent="0.3">
      <c r="B170" s="76" t="s">
        <v>329</v>
      </c>
      <c r="C170" s="76"/>
      <c r="D170" s="207"/>
      <c r="E170" s="207"/>
      <c r="F170" s="399">
        <f>+OM_EF_2017!G71</f>
        <v>0.55069130809404065</v>
      </c>
      <c r="G170" s="49"/>
      <c r="H170" s="49"/>
      <c r="I170" s="49"/>
      <c r="J170" s="49"/>
      <c r="K170" s="49">
        <v>108702.3</v>
      </c>
      <c r="L170" s="49">
        <v>285112</v>
      </c>
      <c r="M170" s="49">
        <v>329847.8391620898</v>
      </c>
      <c r="N170" s="49">
        <v>326287.42484508501</v>
      </c>
      <c r="O170" s="49">
        <f t="shared" si="103"/>
        <v>313749.08800239163</v>
      </c>
      <c r="P170" s="408"/>
      <c r="Q170" s="49"/>
      <c r="R170" s="49"/>
      <c r="S170" s="49"/>
      <c r="T170" s="49"/>
      <c r="U170" s="49"/>
      <c r="V170" s="49"/>
      <c r="W170" s="49"/>
      <c r="X170" s="49"/>
      <c r="Y170" s="49"/>
      <c r="Z170" s="49"/>
      <c r="AA170" s="49"/>
      <c r="AB170" s="26">
        <f t="shared" si="102"/>
        <v>172778.89568534933</v>
      </c>
    </row>
    <row r="171" spans="2:28" x14ac:dyDescent="0.3">
      <c r="B171" s="76" t="s">
        <v>330</v>
      </c>
      <c r="C171" s="76"/>
      <c r="D171" s="207"/>
      <c r="E171" s="207"/>
      <c r="F171" s="399">
        <f>+OM_EF_2017!G72</f>
        <v>0.55033617612407471</v>
      </c>
      <c r="G171" s="49"/>
      <c r="H171" s="49"/>
      <c r="I171" s="49"/>
      <c r="J171" s="49"/>
      <c r="K171" s="49">
        <v>73180</v>
      </c>
      <c r="L171" s="49">
        <v>279769</v>
      </c>
      <c r="M171" s="49">
        <v>310140.64298799884</v>
      </c>
      <c r="N171" s="49">
        <v>335050.79283362499</v>
      </c>
      <c r="O171" s="49">
        <f t="shared" si="103"/>
        <v>308320.14527387463</v>
      </c>
      <c r="P171" s="408"/>
      <c r="Q171" s="49"/>
      <c r="R171" s="49"/>
      <c r="S171" s="49"/>
      <c r="T171" s="49"/>
      <c r="U171" s="49"/>
      <c r="V171" s="49"/>
      <c r="W171" s="49"/>
      <c r="X171" s="49"/>
      <c r="Y171" s="49"/>
      <c r="Z171" s="49"/>
      <c r="AA171" s="49"/>
      <c r="AB171" s="26">
        <f t="shared" si="102"/>
        <v>169679.72977204336</v>
      </c>
    </row>
    <row r="172" spans="2:28" x14ac:dyDescent="0.3">
      <c r="B172" s="77" t="s">
        <v>45</v>
      </c>
      <c r="C172" s="77"/>
      <c r="D172" s="75"/>
      <c r="E172" s="75"/>
      <c r="F172" s="398">
        <f>+OM_EF_2017!G73</f>
        <v>0.70147713437403492</v>
      </c>
      <c r="G172" s="44">
        <v>412298.62000000005</v>
      </c>
      <c r="H172" s="44">
        <v>375505.48</v>
      </c>
      <c r="I172" s="44">
        <v>441361.19300000003</v>
      </c>
      <c r="J172" s="44">
        <v>438893.55500000005</v>
      </c>
      <c r="K172" s="44">
        <v>458878.51799999998</v>
      </c>
      <c r="L172" s="44">
        <v>260568.35899999994</v>
      </c>
      <c r="M172" s="44">
        <v>431717.94459999999</v>
      </c>
      <c r="N172" s="44">
        <v>498992.92799999996</v>
      </c>
      <c r="O172" s="44">
        <f>+AVERAGE($L$172:$N$172)</f>
        <v>397093.0772</v>
      </c>
      <c r="P172" s="409"/>
      <c r="Q172" s="409"/>
      <c r="R172" s="409"/>
      <c r="S172" s="409"/>
      <c r="T172" s="409"/>
      <c r="U172" s="409"/>
      <c r="V172" s="409"/>
      <c r="W172" s="409"/>
      <c r="X172" s="409"/>
      <c r="Y172" s="409">
        <v>282837.74053440319</v>
      </c>
      <c r="Z172" s="44">
        <v>188301.96811231674</v>
      </c>
      <c r="AA172" s="44">
        <f t="shared" ref="AA172" si="112">+AVERAGE($L$172:$N$172)</f>
        <v>397093.0772</v>
      </c>
      <c r="AB172" s="26">
        <f t="shared" si="102"/>
        <v>278551.71387402341</v>
      </c>
    </row>
    <row r="173" spans="2:28" x14ac:dyDescent="0.3">
      <c r="B173" s="76" t="s">
        <v>101</v>
      </c>
      <c r="C173" s="76"/>
      <c r="D173" s="207"/>
      <c r="E173" s="207"/>
      <c r="F173" s="399">
        <f>+OM_EF_2017!G74</f>
        <v>0.77217528002954161</v>
      </c>
      <c r="G173" s="111"/>
      <c r="H173" s="111"/>
      <c r="I173" s="111"/>
      <c r="J173" s="111"/>
      <c r="K173" s="111"/>
      <c r="L173" s="111"/>
      <c r="M173" s="111"/>
      <c r="N173" s="111"/>
      <c r="O173" s="111"/>
      <c r="P173" s="111"/>
      <c r="Q173" s="111"/>
      <c r="R173" s="111"/>
      <c r="S173" s="111"/>
      <c r="T173" s="111"/>
      <c r="U173" s="111"/>
      <c r="V173" s="111"/>
      <c r="W173" s="111"/>
      <c r="X173" s="111"/>
      <c r="Y173" s="111"/>
      <c r="Z173" s="111"/>
      <c r="AA173" s="111"/>
      <c r="AB173" s="26">
        <f t="shared" si="102"/>
        <v>0</v>
      </c>
    </row>
    <row r="174" spans="2:28" x14ac:dyDescent="0.3">
      <c r="B174" s="76" t="s">
        <v>102</v>
      </c>
      <c r="C174" s="76"/>
      <c r="D174" s="207"/>
      <c r="E174" s="207"/>
      <c r="F174" s="399">
        <f>+OM_EF_2017!G75</f>
        <v>0.69576271782517718</v>
      </c>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
        <f t="shared" si="102"/>
        <v>0</v>
      </c>
    </row>
    <row r="175" spans="2:28" x14ac:dyDescent="0.3">
      <c r="B175" s="76" t="s">
        <v>103</v>
      </c>
      <c r="C175" s="76"/>
      <c r="D175" s="207"/>
      <c r="E175" s="207"/>
      <c r="F175" s="399">
        <f>+OM_EF_2017!G76</f>
        <v>0.73269644270164769</v>
      </c>
      <c r="G175" s="269"/>
      <c r="H175" s="269"/>
      <c r="I175" s="269"/>
      <c r="J175" s="269"/>
      <c r="K175" s="269"/>
      <c r="L175" s="269"/>
      <c r="M175" s="269"/>
      <c r="N175" s="269"/>
      <c r="O175" s="269"/>
      <c r="P175" s="269"/>
      <c r="Q175" s="269"/>
      <c r="R175" s="269"/>
      <c r="S175" s="269"/>
      <c r="T175" s="269"/>
      <c r="U175" s="269"/>
      <c r="V175" s="269"/>
      <c r="W175" s="269"/>
      <c r="X175" s="269"/>
      <c r="Y175" s="269"/>
      <c r="Z175" s="269"/>
      <c r="AA175" s="269"/>
      <c r="AB175" s="26">
        <f t="shared" si="102"/>
        <v>0</v>
      </c>
    </row>
    <row r="176" spans="2:28" x14ac:dyDescent="0.3">
      <c r="B176" s="76" t="s">
        <v>104</v>
      </c>
      <c r="C176" s="76"/>
      <c r="D176" s="207"/>
      <c r="E176" s="207"/>
      <c r="F176" s="399">
        <f>+OM_EF_2017!G77</f>
        <v>0.77010367687140613</v>
      </c>
      <c r="G176" s="269"/>
      <c r="H176" s="269"/>
      <c r="I176" s="269"/>
      <c r="J176" s="269"/>
      <c r="K176" s="269"/>
      <c r="L176" s="269"/>
      <c r="M176" s="269"/>
      <c r="N176" s="269"/>
      <c r="O176" s="269"/>
      <c r="P176" s="269"/>
      <c r="Q176" s="269"/>
      <c r="R176" s="269"/>
      <c r="S176" s="269"/>
      <c r="T176" s="269"/>
      <c r="U176" s="269"/>
      <c r="V176" s="269"/>
      <c r="W176" s="269"/>
      <c r="X176" s="269"/>
      <c r="Y176" s="269"/>
      <c r="Z176" s="269"/>
      <c r="AA176" s="269"/>
      <c r="AB176" s="26">
        <f t="shared" si="102"/>
        <v>0</v>
      </c>
    </row>
    <row r="177" spans="2:28" x14ac:dyDescent="0.3">
      <c r="B177" s="76" t="s">
        <v>319</v>
      </c>
      <c r="C177" s="76"/>
      <c r="D177" s="207"/>
      <c r="E177" s="207"/>
      <c r="F177" s="399">
        <f>+OM_EF_2017!G78</f>
        <v>0.62592009706518492</v>
      </c>
      <c r="G177" s="269"/>
      <c r="H177" s="269"/>
      <c r="I177" s="269"/>
      <c r="J177" s="269"/>
      <c r="K177" s="269"/>
      <c r="L177" s="269"/>
      <c r="M177" s="269"/>
      <c r="N177" s="269"/>
      <c r="O177" s="269"/>
      <c r="P177" s="269"/>
      <c r="Q177" s="269"/>
      <c r="R177" s="269"/>
      <c r="S177" s="269"/>
      <c r="T177" s="269"/>
      <c r="U177" s="269"/>
      <c r="V177" s="269"/>
      <c r="W177" s="269"/>
      <c r="X177" s="269"/>
      <c r="Y177" s="269"/>
      <c r="Z177" s="269"/>
      <c r="AA177" s="269"/>
      <c r="AB177" s="26">
        <f t="shared" si="102"/>
        <v>0</v>
      </c>
    </row>
    <row r="178" spans="2:28" x14ac:dyDescent="0.3">
      <c r="B178" s="76" t="s">
        <v>320</v>
      </c>
      <c r="C178" s="76"/>
      <c r="D178" s="207"/>
      <c r="E178" s="207"/>
      <c r="F178" s="399">
        <f>+OM_EF_2017!G79</f>
        <v>0.6288795301482355</v>
      </c>
      <c r="G178" s="269"/>
      <c r="H178" s="269"/>
      <c r="I178" s="269"/>
      <c r="J178" s="269"/>
      <c r="K178" s="269"/>
      <c r="L178" s="269"/>
      <c r="M178" s="269"/>
      <c r="N178" s="269"/>
      <c r="O178" s="269"/>
      <c r="P178" s="269"/>
      <c r="Q178" s="269"/>
      <c r="R178" s="269"/>
      <c r="S178" s="269"/>
      <c r="T178" s="269"/>
      <c r="U178" s="269"/>
      <c r="V178" s="269"/>
      <c r="W178" s="269"/>
      <c r="X178" s="269"/>
      <c r="Y178" s="269"/>
      <c r="Z178" s="269"/>
      <c r="AA178" s="269"/>
      <c r="AB178" s="26">
        <f t="shared" si="102"/>
        <v>0</v>
      </c>
    </row>
    <row r="179" spans="2:28" x14ac:dyDescent="0.3">
      <c r="B179" s="76" t="s">
        <v>321</v>
      </c>
      <c r="C179" s="76"/>
      <c r="D179" s="207"/>
      <c r="E179" s="207"/>
      <c r="F179" s="399">
        <f>+OM_EF_2017!G80</f>
        <v>0.63106951062969285</v>
      </c>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
        <f t="shared" si="102"/>
        <v>0</v>
      </c>
    </row>
    <row r="180" spans="2:28" x14ac:dyDescent="0.3">
      <c r="B180" s="76" t="s">
        <v>322</v>
      </c>
      <c r="C180" s="76"/>
      <c r="D180" s="207"/>
      <c r="E180" s="207"/>
      <c r="F180" s="399">
        <f>+OM_EF_2017!G81</f>
        <v>0.6315430199229809</v>
      </c>
      <c r="G180" s="53"/>
      <c r="H180" s="53"/>
      <c r="I180" s="53"/>
      <c r="J180" s="53"/>
      <c r="K180" s="53"/>
      <c r="L180" s="53"/>
      <c r="M180" s="53"/>
      <c r="N180" s="53"/>
      <c r="O180" s="53"/>
      <c r="P180" s="53"/>
      <c r="Q180" s="53"/>
      <c r="R180" s="53"/>
      <c r="S180" s="53"/>
      <c r="T180" s="53"/>
      <c r="U180" s="53"/>
      <c r="V180" s="53"/>
      <c r="W180" s="53"/>
      <c r="X180" s="53"/>
      <c r="Y180" s="53"/>
      <c r="Z180" s="53"/>
      <c r="AA180" s="53"/>
      <c r="AB180" s="26">
        <f t="shared" si="102"/>
        <v>0</v>
      </c>
    </row>
    <row r="181" spans="2:28" x14ac:dyDescent="0.3">
      <c r="B181" s="77" t="s">
        <v>25</v>
      </c>
      <c r="C181" s="77"/>
      <c r="D181" s="75"/>
      <c r="E181" s="75"/>
      <c r="F181" s="398">
        <f>+OM_EF_2017!G82</f>
        <v>0</v>
      </c>
      <c r="G181" s="379"/>
      <c r="H181" s="379"/>
      <c r="I181" s="379"/>
      <c r="J181" s="379"/>
      <c r="K181" s="379"/>
      <c r="L181" s="61"/>
      <c r="M181" s="61"/>
      <c r="N181" s="61"/>
      <c r="O181" s="61"/>
      <c r="P181" s="61"/>
      <c r="Q181" s="61"/>
      <c r="R181" s="61"/>
      <c r="S181" s="61"/>
      <c r="T181" s="61"/>
      <c r="U181" s="61"/>
      <c r="V181" s="61"/>
      <c r="W181" s="61"/>
      <c r="X181" s="61"/>
      <c r="Y181" s="61"/>
      <c r="Z181" s="61"/>
      <c r="AA181" s="61"/>
      <c r="AB181" s="26">
        <f t="shared" si="102"/>
        <v>0</v>
      </c>
    </row>
    <row r="182" spans="2:28" x14ac:dyDescent="0.3">
      <c r="B182" s="76" t="s">
        <v>333</v>
      </c>
      <c r="C182" s="76"/>
      <c r="D182" s="207"/>
      <c r="E182" s="207"/>
      <c r="F182" s="399">
        <f>+OM_EF_2017!G83</f>
        <v>0.53500631275387289</v>
      </c>
      <c r="G182" s="49"/>
      <c r="H182" s="49"/>
      <c r="I182" s="49"/>
      <c r="J182" s="49"/>
      <c r="K182" s="49"/>
      <c r="L182" s="378">
        <v>198822</v>
      </c>
      <c r="M182" s="49">
        <v>327476</v>
      </c>
      <c r="N182" s="49">
        <v>341340.33600000001</v>
      </c>
      <c r="O182" s="49">
        <f t="shared" ref="O182:O185" si="113">+AVERAGE(L182:N182)</f>
        <v>289212.77866666665</v>
      </c>
      <c r="P182" s="408">
        <v>226167.07033220952</v>
      </c>
      <c r="Q182" s="49"/>
      <c r="R182" s="49"/>
      <c r="S182" s="49"/>
      <c r="T182" s="49"/>
      <c r="U182" s="49"/>
      <c r="V182" s="49"/>
      <c r="W182" s="49"/>
      <c r="X182" s="49"/>
      <c r="Y182" s="49"/>
      <c r="Z182" s="49"/>
      <c r="AA182" s="49"/>
      <c r="AB182" s="26">
        <f t="shared" si="102"/>
        <v>154730.66231575527</v>
      </c>
    </row>
    <row r="183" spans="2:28" x14ac:dyDescent="0.3">
      <c r="B183" s="76" t="s">
        <v>334</v>
      </c>
      <c r="C183" s="76"/>
      <c r="D183" s="207"/>
      <c r="E183" s="207"/>
      <c r="F183" s="399">
        <f>+OM_EF_2017!G84</f>
        <v>0.54003734899505884</v>
      </c>
      <c r="G183" s="49"/>
      <c r="H183" s="49"/>
      <c r="I183" s="49"/>
      <c r="J183" s="49"/>
      <c r="K183" s="49"/>
      <c r="L183" s="378">
        <v>104963</v>
      </c>
      <c r="M183" s="49">
        <v>303848</v>
      </c>
      <c r="N183" s="49">
        <v>232234.96000000008</v>
      </c>
      <c r="O183" s="49">
        <f>+AVERAGE(L183:N183)</f>
        <v>213681.98666666669</v>
      </c>
      <c r="P183" s="49"/>
      <c r="Q183" s="49"/>
      <c r="R183" s="49"/>
      <c r="S183" s="49"/>
      <c r="T183" s="49"/>
      <c r="U183" s="49"/>
      <c r="V183" s="49"/>
      <c r="W183" s="49"/>
      <c r="X183" s="49"/>
      <c r="Y183" s="49"/>
      <c r="Z183" s="49"/>
      <c r="AA183" s="49"/>
      <c r="AB183" s="26">
        <f t="shared" si="102"/>
        <v>115396.2536074642</v>
      </c>
    </row>
    <row r="184" spans="2:28" x14ac:dyDescent="0.3">
      <c r="B184" s="76" t="s">
        <v>335</v>
      </c>
      <c r="C184" s="76"/>
      <c r="D184" s="207"/>
      <c r="E184" s="207"/>
      <c r="F184" s="399">
        <f>+OM_EF_2017!G85</f>
        <v>0.53991897167173675</v>
      </c>
      <c r="G184" s="49"/>
      <c r="H184" s="49"/>
      <c r="I184" s="49"/>
      <c r="J184" s="49"/>
      <c r="K184" s="49"/>
      <c r="L184" s="378">
        <v>135385</v>
      </c>
      <c r="M184" s="49">
        <v>334360</v>
      </c>
      <c r="N184" s="49">
        <v>332215.63199999998</v>
      </c>
      <c r="O184" s="49">
        <f t="shared" si="113"/>
        <v>267320.21066666668</v>
      </c>
      <c r="P184" s="49"/>
      <c r="Q184" s="49"/>
      <c r="R184" s="49"/>
      <c r="S184" s="49"/>
      <c r="T184" s="49"/>
      <c r="U184" s="49"/>
      <c r="V184" s="49"/>
      <c r="W184" s="49"/>
      <c r="X184" s="49"/>
      <c r="Y184" s="49"/>
      <c r="Z184" s="49"/>
      <c r="AA184" s="49"/>
      <c r="AB184" s="26">
        <f t="shared" si="102"/>
        <v>144331.2532502187</v>
      </c>
    </row>
    <row r="185" spans="2:28" x14ac:dyDescent="0.3">
      <c r="B185" s="76" t="s">
        <v>336</v>
      </c>
      <c r="C185" s="76"/>
      <c r="D185" s="207"/>
      <c r="E185" s="207"/>
      <c r="F185" s="399">
        <f>+OM_EF_2017!G86</f>
        <v>0.54062923561166887</v>
      </c>
      <c r="G185" s="49"/>
      <c r="H185" s="49"/>
      <c r="I185" s="49"/>
      <c r="J185" s="49"/>
      <c r="K185" s="49"/>
      <c r="L185" s="378">
        <v>75984</v>
      </c>
      <c r="M185" s="49">
        <v>328445</v>
      </c>
      <c r="N185" s="49">
        <v>319457.85599999991</v>
      </c>
      <c r="O185" s="49">
        <f t="shared" si="113"/>
        <v>241295.61866666665</v>
      </c>
      <c r="P185" s="49"/>
      <c r="Q185" s="49"/>
      <c r="R185" s="49"/>
      <c r="S185" s="49"/>
      <c r="T185" s="49"/>
      <c r="U185" s="49"/>
      <c r="V185" s="49"/>
      <c r="W185" s="49"/>
      <c r="X185" s="49"/>
      <c r="Y185" s="49"/>
      <c r="Z185" s="49"/>
      <c r="AA185" s="49"/>
      <c r="AB185" s="26">
        <f t="shared" si="102"/>
        <v>130451.46587620473</v>
      </c>
    </row>
    <row r="186" spans="2:28" x14ac:dyDescent="0.3">
      <c r="B186" s="76" t="s">
        <v>337</v>
      </c>
      <c r="C186" s="76"/>
      <c r="D186" s="207"/>
      <c r="E186" s="207"/>
      <c r="F186" s="399">
        <f>+OM_EF_2017!G87</f>
        <v>0.54128031088994011</v>
      </c>
      <c r="G186" s="49"/>
      <c r="H186" s="49"/>
      <c r="I186" s="49"/>
      <c r="J186" s="49"/>
      <c r="K186" s="49"/>
      <c r="L186" s="378">
        <v>91678</v>
      </c>
      <c r="M186" s="49">
        <v>330964</v>
      </c>
      <c r="N186" s="49">
        <v>332882.23199999996</v>
      </c>
      <c r="O186" s="49">
        <f>+AVERAGE($L$186:$N$186)</f>
        <v>251841.41066666666</v>
      </c>
      <c r="P186" s="408"/>
      <c r="Q186" s="408"/>
      <c r="R186" s="408"/>
      <c r="S186" s="408"/>
      <c r="T186" s="408"/>
      <c r="U186" s="408"/>
      <c r="V186" s="408"/>
      <c r="W186" s="408"/>
      <c r="X186" s="49">
        <f t="shared" ref="X186:AA186" si="114">+AVERAGE($L$186:$N$186)</f>
        <v>251841.41066666666</v>
      </c>
      <c r="Y186" s="49">
        <f t="shared" si="114"/>
        <v>251841.41066666666</v>
      </c>
      <c r="Z186" s="49">
        <f t="shared" si="114"/>
        <v>251841.41066666666</v>
      </c>
      <c r="AA186" s="49">
        <f t="shared" si="114"/>
        <v>251841.41066666666</v>
      </c>
      <c r="AB186" s="26">
        <f t="shared" si="102"/>
        <v>136316.79706061442</v>
      </c>
    </row>
    <row r="187" spans="2:28" x14ac:dyDescent="0.3">
      <c r="B187" s="113"/>
      <c r="C187" s="76"/>
      <c r="D187" s="207"/>
      <c r="E187" s="400"/>
      <c r="F187" s="400"/>
      <c r="G187" s="4"/>
      <c r="H187" s="30"/>
      <c r="I187" s="4"/>
      <c r="J187" s="4"/>
      <c r="K187" s="30"/>
      <c r="L187" s="30"/>
      <c r="M187" s="30"/>
      <c r="N187" s="30"/>
      <c r="O187" s="30"/>
      <c r="P187" s="30"/>
      <c r="Q187" s="30"/>
      <c r="R187" s="30"/>
      <c r="S187" s="30"/>
      <c r="T187" s="30"/>
      <c r="U187" s="30"/>
      <c r="V187" s="30"/>
      <c r="W187" s="30"/>
      <c r="X187" s="30"/>
      <c r="Y187" s="30"/>
      <c r="Z187" s="30"/>
      <c r="AA187" s="30"/>
    </row>
    <row r="188" spans="2:28" x14ac:dyDescent="0.3">
      <c r="B188" s="381"/>
      <c r="C188" s="381"/>
      <c r="D188" s="381"/>
      <c r="E188" s="381"/>
      <c r="F188" s="381"/>
      <c r="G188" s="381">
        <v>2010</v>
      </c>
      <c r="H188" s="381">
        <v>2011</v>
      </c>
      <c r="I188" s="381">
        <v>2012</v>
      </c>
      <c r="J188" s="381">
        <v>2013</v>
      </c>
      <c r="K188" s="381">
        <v>2014</v>
      </c>
      <c r="L188" s="381">
        <v>2015</v>
      </c>
      <c r="M188" s="381">
        <v>2016</v>
      </c>
      <c r="N188" s="381">
        <v>2017</v>
      </c>
      <c r="O188" s="381">
        <v>2018</v>
      </c>
      <c r="P188" s="381">
        <v>2019</v>
      </c>
      <c r="Q188" s="381">
        <v>2020</v>
      </c>
      <c r="R188" s="381">
        <v>2021</v>
      </c>
      <c r="S188" s="381">
        <v>2022</v>
      </c>
      <c r="T188" s="381">
        <v>2023</v>
      </c>
      <c r="U188" s="381">
        <v>2024</v>
      </c>
      <c r="V188" s="381">
        <v>2025</v>
      </c>
      <c r="W188" s="381">
        <v>2026</v>
      </c>
      <c r="X188" s="381">
        <v>2027</v>
      </c>
      <c r="Y188" s="381">
        <v>2028</v>
      </c>
      <c r="Z188" s="381">
        <v>2029</v>
      </c>
      <c r="AA188" s="381">
        <v>2030</v>
      </c>
    </row>
    <row r="189" spans="2:28" ht="28.8" x14ac:dyDescent="0.3">
      <c r="B189" s="84" t="s">
        <v>164</v>
      </c>
      <c r="C189" s="80" t="s">
        <v>279</v>
      </c>
      <c r="D189" s="389" t="s">
        <v>397</v>
      </c>
      <c r="E189" s="388" t="s">
        <v>247</v>
      </c>
      <c r="F189" s="388"/>
      <c r="G189" s="79" t="s">
        <v>197</v>
      </c>
      <c r="H189" s="79" t="s">
        <v>197</v>
      </c>
      <c r="I189" s="79" t="s">
        <v>197</v>
      </c>
      <c r="J189" s="79" t="s">
        <v>197</v>
      </c>
      <c r="K189" s="79" t="s">
        <v>197</v>
      </c>
      <c r="L189" s="79" t="s">
        <v>197</v>
      </c>
      <c r="M189" s="79" t="s">
        <v>197</v>
      </c>
      <c r="N189" s="79" t="s">
        <v>197</v>
      </c>
      <c r="O189" s="79" t="s">
        <v>197</v>
      </c>
      <c r="P189" s="79" t="s">
        <v>197</v>
      </c>
      <c r="Q189" s="79" t="s">
        <v>197</v>
      </c>
      <c r="R189" s="79" t="s">
        <v>197</v>
      </c>
      <c r="S189" s="79" t="s">
        <v>197</v>
      </c>
      <c r="T189" s="79" t="s">
        <v>197</v>
      </c>
      <c r="U189" s="79" t="s">
        <v>197</v>
      </c>
      <c r="V189" s="79" t="s">
        <v>197</v>
      </c>
      <c r="W189" s="79" t="s">
        <v>197</v>
      </c>
      <c r="X189" s="79" t="s">
        <v>197</v>
      </c>
      <c r="Y189" s="79" t="s">
        <v>197</v>
      </c>
      <c r="Z189" s="79" t="s">
        <v>197</v>
      </c>
      <c r="AA189" s="79" t="s">
        <v>197</v>
      </c>
    </row>
    <row r="190" spans="2:28" x14ac:dyDescent="0.3">
      <c r="B190" s="82" t="s">
        <v>0</v>
      </c>
      <c r="C190" s="82"/>
      <c r="D190" s="82"/>
      <c r="E190" s="82"/>
      <c r="F190" s="82"/>
      <c r="G190" s="83">
        <f t="shared" ref="G190:AA190" si="115">SUM(G191:G259)</f>
        <v>2151428.9800358461</v>
      </c>
      <c r="H190" s="83">
        <f t="shared" si="115"/>
        <v>2324105.4636729998</v>
      </c>
      <c r="I190" s="83">
        <f t="shared" si="115"/>
        <v>2322084.4652733332</v>
      </c>
      <c r="J190" s="83">
        <f t="shared" si="115"/>
        <v>2514863.618699627</v>
      </c>
      <c r="K190" s="83">
        <f t="shared" si="115"/>
        <v>2232992.8565350003</v>
      </c>
      <c r="L190" s="83">
        <f t="shared" si="115"/>
        <v>2439591.1513262745</v>
      </c>
      <c r="M190" s="83">
        <f t="shared" si="115"/>
        <v>1715604.4612500004</v>
      </c>
      <c r="N190" s="83">
        <f t="shared" si="115"/>
        <v>2229863.9013999989</v>
      </c>
      <c r="O190" s="83">
        <f t="shared" si="115"/>
        <v>2651238.9793254239</v>
      </c>
      <c r="P190" s="83">
        <f t="shared" si="115"/>
        <v>2640951.1156587573</v>
      </c>
      <c r="Q190" s="83">
        <f t="shared" si="115"/>
        <v>2640951.1156587573</v>
      </c>
      <c r="R190" s="83">
        <f t="shared" si="115"/>
        <v>2640951.1156587573</v>
      </c>
      <c r="S190" s="83">
        <f t="shared" si="115"/>
        <v>2640951.1156587573</v>
      </c>
      <c r="T190" s="83">
        <f t="shared" si="115"/>
        <v>2640951.1156587573</v>
      </c>
      <c r="U190" s="83">
        <f t="shared" si="115"/>
        <v>2640951.1156587573</v>
      </c>
      <c r="V190" s="83">
        <f t="shared" si="115"/>
        <v>2640951.1156587573</v>
      </c>
      <c r="W190" s="83">
        <f t="shared" si="115"/>
        <v>2640951.1156587573</v>
      </c>
      <c r="X190" s="83">
        <f t="shared" si="115"/>
        <v>2640951.1156587573</v>
      </c>
      <c r="Y190" s="83">
        <f t="shared" si="115"/>
        <v>2640951.1156587573</v>
      </c>
      <c r="Z190" s="83">
        <f t="shared" si="115"/>
        <v>2640951.1156587573</v>
      </c>
      <c r="AA190" s="83">
        <f t="shared" si="115"/>
        <v>2640951.1156587573</v>
      </c>
    </row>
    <row r="191" spans="2:28" x14ac:dyDescent="0.3">
      <c r="B191" s="57" t="s">
        <v>26</v>
      </c>
      <c r="C191" s="57"/>
      <c r="D191" s="57"/>
      <c r="E191" s="57"/>
      <c r="F191" s="57"/>
      <c r="G191" s="78"/>
      <c r="H191" s="78"/>
      <c r="I191" s="78"/>
      <c r="J191" s="78"/>
      <c r="K191" s="78"/>
      <c r="L191" s="78"/>
      <c r="M191" s="78"/>
      <c r="N191" s="78"/>
      <c r="O191" s="78"/>
      <c r="P191" s="78"/>
      <c r="Q191" s="78"/>
      <c r="R191" s="78"/>
      <c r="S191" s="78"/>
      <c r="T191" s="78"/>
      <c r="U191" s="78"/>
      <c r="V191" s="78"/>
      <c r="W191" s="78"/>
      <c r="X191" s="78"/>
      <c r="Y191" s="78"/>
      <c r="Z191" s="78"/>
      <c r="AA191" s="78"/>
    </row>
    <row r="192" spans="2:28" x14ac:dyDescent="0.3">
      <c r="B192" s="47" t="s">
        <v>142</v>
      </c>
      <c r="C192" s="47"/>
      <c r="D192" s="47"/>
      <c r="E192" s="47"/>
      <c r="F192" s="47"/>
      <c r="G192" s="49">
        <v>9271.0999999999949</v>
      </c>
      <c r="H192" s="49">
        <v>8656.5849999999991</v>
      </c>
      <c r="I192" s="49">
        <v>10232.768999999998</v>
      </c>
      <c r="J192" s="49">
        <v>8655.150999999998</v>
      </c>
      <c r="K192" s="49">
        <v>8364.82</v>
      </c>
      <c r="L192" s="49">
        <v>8059.2840000000015</v>
      </c>
      <c r="M192" s="49">
        <v>8299.025999999998</v>
      </c>
      <c r="N192" s="49">
        <v>7068.2120000000004</v>
      </c>
      <c r="O192" s="49">
        <f>+AVERAGE(L192:N192)</f>
        <v>7808.8406666666669</v>
      </c>
      <c r="P192" s="49">
        <f>+O192</f>
        <v>7808.8406666666669</v>
      </c>
      <c r="Q192" s="49">
        <f t="shared" ref="Q192:AA192" si="116">+P192</f>
        <v>7808.8406666666669</v>
      </c>
      <c r="R192" s="49">
        <f t="shared" si="116"/>
        <v>7808.8406666666669</v>
      </c>
      <c r="S192" s="49">
        <f t="shared" si="116"/>
        <v>7808.8406666666669</v>
      </c>
      <c r="T192" s="49">
        <f t="shared" si="116"/>
        <v>7808.8406666666669</v>
      </c>
      <c r="U192" s="49">
        <f t="shared" si="116"/>
        <v>7808.8406666666669</v>
      </c>
      <c r="V192" s="49">
        <f t="shared" si="116"/>
        <v>7808.8406666666669</v>
      </c>
      <c r="W192" s="49">
        <f t="shared" si="116"/>
        <v>7808.8406666666669</v>
      </c>
      <c r="X192" s="49">
        <f t="shared" si="116"/>
        <v>7808.8406666666669</v>
      </c>
      <c r="Y192" s="49">
        <f t="shared" si="116"/>
        <v>7808.8406666666669</v>
      </c>
      <c r="Z192" s="49">
        <f t="shared" si="116"/>
        <v>7808.8406666666669</v>
      </c>
      <c r="AA192" s="49">
        <f t="shared" si="116"/>
        <v>7808.8406666666669</v>
      </c>
    </row>
    <row r="193" spans="2:27" x14ac:dyDescent="0.3">
      <c r="B193" s="47" t="s">
        <v>143</v>
      </c>
      <c r="C193" s="47"/>
      <c r="D193" s="47"/>
      <c r="E193" s="47"/>
      <c r="F193" s="47"/>
      <c r="G193" s="49">
        <v>4843.4999999999982</v>
      </c>
      <c r="H193" s="49">
        <v>5139.1980000000003</v>
      </c>
      <c r="I193" s="49">
        <v>4981.5259999999998</v>
      </c>
      <c r="J193" s="49">
        <v>3998.6959999999999</v>
      </c>
      <c r="K193" s="49">
        <v>4087.8379999999997</v>
      </c>
      <c r="L193" s="49">
        <v>3992.585</v>
      </c>
      <c r="M193" s="49">
        <v>2863.16</v>
      </c>
      <c r="N193" s="49">
        <v>3531.5559999999991</v>
      </c>
      <c r="O193" s="49">
        <f t="shared" ref="O193:O209" si="117">+AVERAGE(L193:N193)</f>
        <v>3462.4336666666663</v>
      </c>
      <c r="P193" s="49">
        <f t="shared" ref="P193:AA193" si="118">+O193</f>
        <v>3462.4336666666663</v>
      </c>
      <c r="Q193" s="49">
        <f t="shared" si="118"/>
        <v>3462.4336666666663</v>
      </c>
      <c r="R193" s="49">
        <f t="shared" si="118"/>
        <v>3462.4336666666663</v>
      </c>
      <c r="S193" s="49">
        <f t="shared" si="118"/>
        <v>3462.4336666666663</v>
      </c>
      <c r="T193" s="49">
        <f t="shared" si="118"/>
        <v>3462.4336666666663</v>
      </c>
      <c r="U193" s="49">
        <f t="shared" si="118"/>
        <v>3462.4336666666663</v>
      </c>
      <c r="V193" s="49">
        <f t="shared" si="118"/>
        <v>3462.4336666666663</v>
      </c>
      <c r="W193" s="49">
        <f t="shared" si="118"/>
        <v>3462.4336666666663</v>
      </c>
      <c r="X193" s="49">
        <f t="shared" si="118"/>
        <v>3462.4336666666663</v>
      </c>
      <c r="Y193" s="49">
        <f t="shared" si="118"/>
        <v>3462.4336666666663</v>
      </c>
      <c r="Z193" s="49">
        <f t="shared" si="118"/>
        <v>3462.4336666666663</v>
      </c>
      <c r="AA193" s="49">
        <f t="shared" si="118"/>
        <v>3462.4336666666663</v>
      </c>
    </row>
    <row r="194" spans="2:27" x14ac:dyDescent="0.3">
      <c r="B194" s="47" t="s">
        <v>144</v>
      </c>
      <c r="C194" s="47"/>
      <c r="D194" s="47"/>
      <c r="E194" s="47"/>
      <c r="F194" s="47"/>
      <c r="G194" s="49">
        <v>5760.9160000000011</v>
      </c>
      <c r="H194" s="49">
        <v>6575.5169999999998</v>
      </c>
      <c r="I194" s="49">
        <v>7386.07</v>
      </c>
      <c r="J194" s="49">
        <v>6891.6029999999992</v>
      </c>
      <c r="K194" s="49">
        <v>6808.925000000002</v>
      </c>
      <c r="L194" s="49">
        <v>6644.1160000000018</v>
      </c>
      <c r="M194" s="49">
        <v>5656.7429999999995</v>
      </c>
      <c r="N194" s="49">
        <v>6833.0870000000014</v>
      </c>
      <c r="O194" s="49">
        <f t="shared" si="117"/>
        <v>6377.9820000000009</v>
      </c>
      <c r="P194" s="49">
        <f t="shared" ref="P194:AA194" si="119">+O194</f>
        <v>6377.9820000000009</v>
      </c>
      <c r="Q194" s="49">
        <f t="shared" si="119"/>
        <v>6377.9820000000009</v>
      </c>
      <c r="R194" s="49">
        <f t="shared" si="119"/>
        <v>6377.9820000000009</v>
      </c>
      <c r="S194" s="49">
        <f t="shared" si="119"/>
        <v>6377.9820000000009</v>
      </c>
      <c r="T194" s="49">
        <f t="shared" si="119"/>
        <v>6377.9820000000009</v>
      </c>
      <c r="U194" s="49">
        <f t="shared" si="119"/>
        <v>6377.9820000000009</v>
      </c>
      <c r="V194" s="49">
        <f t="shared" si="119"/>
        <v>6377.9820000000009</v>
      </c>
      <c r="W194" s="49">
        <f t="shared" si="119"/>
        <v>6377.9820000000009</v>
      </c>
      <c r="X194" s="49">
        <f t="shared" si="119"/>
        <v>6377.9820000000009</v>
      </c>
      <c r="Y194" s="49">
        <f t="shared" si="119"/>
        <v>6377.9820000000009</v>
      </c>
      <c r="Z194" s="49">
        <f t="shared" si="119"/>
        <v>6377.9820000000009</v>
      </c>
      <c r="AA194" s="49">
        <f t="shared" si="119"/>
        <v>6377.9820000000009</v>
      </c>
    </row>
    <row r="195" spans="2:27" x14ac:dyDescent="0.3">
      <c r="B195" s="57" t="s">
        <v>27</v>
      </c>
      <c r="C195" s="57"/>
      <c r="D195" s="57"/>
      <c r="E195" s="57"/>
      <c r="F195" s="57"/>
      <c r="G195" s="78"/>
      <c r="H195" s="78"/>
      <c r="I195" s="78"/>
      <c r="J195" s="78"/>
      <c r="K195" s="78"/>
      <c r="L195" s="78"/>
      <c r="M195" s="78"/>
      <c r="N195" s="78"/>
      <c r="O195" s="78"/>
      <c r="P195" s="78"/>
      <c r="Q195" s="78"/>
      <c r="R195" s="78"/>
      <c r="S195" s="78"/>
      <c r="T195" s="78"/>
      <c r="U195" s="78"/>
      <c r="V195" s="78"/>
      <c r="W195" s="78"/>
      <c r="X195" s="78"/>
      <c r="Y195" s="78"/>
      <c r="Z195" s="78"/>
      <c r="AA195" s="78"/>
    </row>
    <row r="196" spans="2:27" x14ac:dyDescent="0.3">
      <c r="B196" s="47" t="s">
        <v>125</v>
      </c>
      <c r="C196" s="47"/>
      <c r="D196" s="47"/>
      <c r="E196" s="47"/>
      <c r="F196" s="47"/>
      <c r="G196" s="49">
        <v>7849.8739999999998</v>
      </c>
      <c r="H196" s="49">
        <v>8621.2659999999996</v>
      </c>
      <c r="I196" s="49">
        <v>8717.6899999999987</v>
      </c>
      <c r="J196" s="49">
        <v>8548.19</v>
      </c>
      <c r="K196" s="49">
        <v>6937.6459999999988</v>
      </c>
      <c r="L196" s="49">
        <v>8959.4909999999982</v>
      </c>
      <c r="M196" s="49">
        <v>5032.6009999999997</v>
      </c>
      <c r="N196" s="49">
        <v>8563.4409999999989</v>
      </c>
      <c r="O196" s="49">
        <f t="shared" si="117"/>
        <v>7518.5109999999986</v>
      </c>
      <c r="P196" s="49">
        <f t="shared" ref="P196:AA196" si="120">+O196</f>
        <v>7518.5109999999986</v>
      </c>
      <c r="Q196" s="49">
        <f t="shared" si="120"/>
        <v>7518.5109999999986</v>
      </c>
      <c r="R196" s="49">
        <f t="shared" si="120"/>
        <v>7518.5109999999986</v>
      </c>
      <c r="S196" s="49">
        <f t="shared" si="120"/>
        <v>7518.5109999999986</v>
      </c>
      <c r="T196" s="49">
        <f t="shared" si="120"/>
        <v>7518.5109999999986</v>
      </c>
      <c r="U196" s="49">
        <f t="shared" si="120"/>
        <v>7518.5109999999986</v>
      </c>
      <c r="V196" s="49">
        <f t="shared" si="120"/>
        <v>7518.5109999999986</v>
      </c>
      <c r="W196" s="49">
        <f t="shared" si="120"/>
        <v>7518.5109999999986</v>
      </c>
      <c r="X196" s="49">
        <f t="shared" si="120"/>
        <v>7518.5109999999986</v>
      </c>
      <c r="Y196" s="49">
        <f t="shared" si="120"/>
        <v>7518.5109999999986</v>
      </c>
      <c r="Z196" s="49">
        <f t="shared" si="120"/>
        <v>7518.5109999999986</v>
      </c>
      <c r="AA196" s="49">
        <f t="shared" si="120"/>
        <v>7518.5109999999986</v>
      </c>
    </row>
    <row r="197" spans="2:27" x14ac:dyDescent="0.3">
      <c r="B197" s="47" t="s">
        <v>126</v>
      </c>
      <c r="C197" s="47"/>
      <c r="D197" s="47"/>
      <c r="E197" s="47"/>
      <c r="F197" s="47"/>
      <c r="G197" s="49">
        <v>6640.692</v>
      </c>
      <c r="H197" s="49">
        <v>7153.3130000000001</v>
      </c>
      <c r="I197" s="49">
        <v>7359.0120000000006</v>
      </c>
      <c r="J197" s="49">
        <v>7028.0189999999984</v>
      </c>
      <c r="K197" s="49">
        <v>5548.0110000000004</v>
      </c>
      <c r="L197" s="49">
        <v>7037.5190000000011</v>
      </c>
      <c r="M197" s="49">
        <v>3451.9039999999995</v>
      </c>
      <c r="N197" s="49">
        <v>6239.6179999999995</v>
      </c>
      <c r="O197" s="49">
        <f t="shared" si="117"/>
        <v>5576.3470000000007</v>
      </c>
      <c r="P197" s="49">
        <f t="shared" ref="P197:AA197" si="121">+O197</f>
        <v>5576.3470000000007</v>
      </c>
      <c r="Q197" s="49">
        <f t="shared" si="121"/>
        <v>5576.3470000000007</v>
      </c>
      <c r="R197" s="49">
        <f t="shared" si="121"/>
        <v>5576.3470000000007</v>
      </c>
      <c r="S197" s="49">
        <f t="shared" si="121"/>
        <v>5576.3470000000007</v>
      </c>
      <c r="T197" s="49">
        <f t="shared" si="121"/>
        <v>5576.3470000000007</v>
      </c>
      <c r="U197" s="49">
        <f t="shared" si="121"/>
        <v>5576.3470000000007</v>
      </c>
      <c r="V197" s="49">
        <f t="shared" si="121"/>
        <v>5576.3470000000007</v>
      </c>
      <c r="W197" s="49">
        <f t="shared" si="121"/>
        <v>5576.3470000000007</v>
      </c>
      <c r="X197" s="49">
        <f t="shared" si="121"/>
        <v>5576.3470000000007</v>
      </c>
      <c r="Y197" s="49">
        <f t="shared" si="121"/>
        <v>5576.3470000000007</v>
      </c>
      <c r="Z197" s="49">
        <f t="shared" si="121"/>
        <v>5576.3470000000007</v>
      </c>
      <c r="AA197" s="49">
        <f t="shared" si="121"/>
        <v>5576.3470000000007</v>
      </c>
    </row>
    <row r="198" spans="2:27" x14ac:dyDescent="0.3">
      <c r="B198" s="47" t="s">
        <v>127</v>
      </c>
      <c r="C198" s="395"/>
      <c r="D198" s="395"/>
      <c r="E198" s="47"/>
      <c r="F198" s="47"/>
      <c r="G198" s="49">
        <v>21561.253000000001</v>
      </c>
      <c r="H198" s="49">
        <v>20814.348000000002</v>
      </c>
      <c r="I198" s="49">
        <v>22706.515999999996</v>
      </c>
      <c r="J198" s="49">
        <v>22174.722999999998</v>
      </c>
      <c r="K198" s="49">
        <v>20967.522999999997</v>
      </c>
      <c r="L198" s="49">
        <v>23605.780999999999</v>
      </c>
      <c r="M198" s="49">
        <v>18889.346000000001</v>
      </c>
      <c r="N198" s="49">
        <v>20402.677000000003</v>
      </c>
      <c r="O198" s="49">
        <f t="shared" si="117"/>
        <v>20965.934666666668</v>
      </c>
      <c r="P198" s="49">
        <f t="shared" ref="P198:AA198" si="122">+O198</f>
        <v>20965.934666666668</v>
      </c>
      <c r="Q198" s="49">
        <f t="shared" si="122"/>
        <v>20965.934666666668</v>
      </c>
      <c r="R198" s="49">
        <f t="shared" si="122"/>
        <v>20965.934666666668</v>
      </c>
      <c r="S198" s="49">
        <f t="shared" si="122"/>
        <v>20965.934666666668</v>
      </c>
      <c r="T198" s="49">
        <f t="shared" si="122"/>
        <v>20965.934666666668</v>
      </c>
      <c r="U198" s="49">
        <f t="shared" si="122"/>
        <v>20965.934666666668</v>
      </c>
      <c r="V198" s="49">
        <f t="shared" si="122"/>
        <v>20965.934666666668</v>
      </c>
      <c r="W198" s="49">
        <f t="shared" si="122"/>
        <v>20965.934666666668</v>
      </c>
      <c r="X198" s="49">
        <f t="shared" si="122"/>
        <v>20965.934666666668</v>
      </c>
      <c r="Y198" s="49">
        <f t="shared" si="122"/>
        <v>20965.934666666668</v>
      </c>
      <c r="Z198" s="49">
        <f t="shared" si="122"/>
        <v>20965.934666666668</v>
      </c>
      <c r="AA198" s="49">
        <f t="shared" si="122"/>
        <v>20965.934666666668</v>
      </c>
    </row>
    <row r="199" spans="2:27" x14ac:dyDescent="0.3">
      <c r="B199" s="57" t="s">
        <v>28</v>
      </c>
      <c r="C199" s="57"/>
      <c r="D199" s="57"/>
      <c r="E199" s="57"/>
      <c r="F199" s="57"/>
      <c r="G199" s="78"/>
      <c r="H199" s="78"/>
      <c r="I199" s="78"/>
      <c r="J199" s="78"/>
      <c r="K199" s="78"/>
      <c r="L199" s="78"/>
      <c r="M199" s="78"/>
      <c r="N199" s="78"/>
      <c r="O199" s="78"/>
      <c r="P199" s="78"/>
      <c r="Q199" s="78"/>
      <c r="R199" s="78"/>
      <c r="S199" s="78"/>
      <c r="T199" s="78"/>
      <c r="U199" s="78"/>
      <c r="V199" s="78"/>
      <c r="W199" s="78"/>
      <c r="X199" s="78"/>
      <c r="Y199" s="78"/>
      <c r="Z199" s="78"/>
      <c r="AA199" s="78"/>
    </row>
    <row r="200" spans="2:27" x14ac:dyDescent="0.3">
      <c r="B200" s="47" t="s">
        <v>156</v>
      </c>
      <c r="C200" s="47"/>
      <c r="D200" s="47"/>
      <c r="E200" s="47"/>
      <c r="F200" s="47"/>
      <c r="G200" s="49">
        <v>79039.576000000001</v>
      </c>
      <c r="H200" s="49">
        <v>58254.008999999998</v>
      </c>
      <c r="I200" s="49">
        <v>51281.207999999999</v>
      </c>
      <c r="J200" s="49">
        <v>86457.891000000003</v>
      </c>
      <c r="K200" s="49">
        <v>85493.885999999984</v>
      </c>
      <c r="L200" s="49">
        <v>81648.601999999999</v>
      </c>
      <c r="M200" s="49">
        <v>62691.474999999999</v>
      </c>
      <c r="N200" s="49">
        <v>85854.238000000012</v>
      </c>
      <c r="O200" s="49">
        <f t="shared" si="117"/>
        <v>76731.438333333339</v>
      </c>
      <c r="P200" s="49">
        <f t="shared" ref="P200:AA200" si="123">+O200</f>
        <v>76731.438333333339</v>
      </c>
      <c r="Q200" s="49">
        <f t="shared" si="123"/>
        <v>76731.438333333339</v>
      </c>
      <c r="R200" s="49">
        <f t="shared" si="123"/>
        <v>76731.438333333339</v>
      </c>
      <c r="S200" s="49">
        <f t="shared" si="123"/>
        <v>76731.438333333339</v>
      </c>
      <c r="T200" s="49">
        <f t="shared" si="123"/>
        <v>76731.438333333339</v>
      </c>
      <c r="U200" s="49">
        <f t="shared" si="123"/>
        <v>76731.438333333339</v>
      </c>
      <c r="V200" s="49">
        <f t="shared" si="123"/>
        <v>76731.438333333339</v>
      </c>
      <c r="W200" s="49">
        <f t="shared" si="123"/>
        <v>76731.438333333339</v>
      </c>
      <c r="X200" s="49">
        <f t="shared" si="123"/>
        <v>76731.438333333339</v>
      </c>
      <c r="Y200" s="49">
        <f t="shared" si="123"/>
        <v>76731.438333333339</v>
      </c>
      <c r="Z200" s="49">
        <f t="shared" si="123"/>
        <v>76731.438333333339</v>
      </c>
      <c r="AA200" s="49">
        <f t="shared" si="123"/>
        <v>76731.438333333339</v>
      </c>
    </row>
    <row r="201" spans="2:27" x14ac:dyDescent="0.3">
      <c r="B201" s="47" t="s">
        <v>157</v>
      </c>
      <c r="C201" s="47"/>
      <c r="D201" s="47"/>
      <c r="E201" s="47"/>
      <c r="F201" s="47"/>
      <c r="G201" s="49">
        <v>81435.836999999985</v>
      </c>
      <c r="H201" s="49">
        <v>91507.437000000005</v>
      </c>
      <c r="I201" s="49">
        <v>83285.340000000011</v>
      </c>
      <c r="J201" s="49">
        <v>84764.018000000011</v>
      </c>
      <c r="K201" s="49">
        <v>77185.930999999997</v>
      </c>
      <c r="L201" s="49">
        <v>81079.112999999998</v>
      </c>
      <c r="M201" s="49">
        <v>67549.632999999987</v>
      </c>
      <c r="N201" s="49">
        <v>83617.593000000008</v>
      </c>
      <c r="O201" s="49">
        <f t="shared" si="117"/>
        <v>77415.446333333326</v>
      </c>
      <c r="P201" s="49">
        <f t="shared" ref="P201:AA201" si="124">+O201</f>
        <v>77415.446333333326</v>
      </c>
      <c r="Q201" s="49">
        <f t="shared" si="124"/>
        <v>77415.446333333326</v>
      </c>
      <c r="R201" s="49">
        <f t="shared" si="124"/>
        <v>77415.446333333326</v>
      </c>
      <c r="S201" s="49">
        <f t="shared" si="124"/>
        <v>77415.446333333326</v>
      </c>
      <c r="T201" s="49">
        <f t="shared" si="124"/>
        <v>77415.446333333326</v>
      </c>
      <c r="U201" s="49">
        <f t="shared" si="124"/>
        <v>77415.446333333326</v>
      </c>
      <c r="V201" s="49">
        <f t="shared" si="124"/>
        <v>77415.446333333326</v>
      </c>
      <c r="W201" s="49">
        <f t="shared" si="124"/>
        <v>77415.446333333326</v>
      </c>
      <c r="X201" s="49">
        <f t="shared" si="124"/>
        <v>77415.446333333326</v>
      </c>
      <c r="Y201" s="49">
        <f t="shared" si="124"/>
        <v>77415.446333333326</v>
      </c>
      <c r="Z201" s="49">
        <f t="shared" si="124"/>
        <v>77415.446333333326</v>
      </c>
      <c r="AA201" s="49">
        <f t="shared" si="124"/>
        <v>77415.446333333326</v>
      </c>
    </row>
    <row r="202" spans="2:27" x14ac:dyDescent="0.3">
      <c r="B202" s="57" t="s">
        <v>32</v>
      </c>
      <c r="C202" s="57"/>
      <c r="D202" s="57"/>
      <c r="E202" s="57"/>
      <c r="F202" s="57"/>
      <c r="G202" s="78"/>
      <c r="H202" s="78"/>
      <c r="I202" s="78"/>
      <c r="J202" s="78"/>
      <c r="K202" s="78"/>
      <c r="L202" s="78"/>
      <c r="M202" s="78"/>
      <c r="N202" s="78"/>
      <c r="O202" s="78"/>
      <c r="P202" s="78"/>
      <c r="Q202" s="78"/>
      <c r="R202" s="78"/>
      <c r="S202" s="78"/>
      <c r="T202" s="78"/>
      <c r="U202" s="78"/>
      <c r="V202" s="78"/>
      <c r="W202" s="78"/>
      <c r="X202" s="78"/>
      <c r="Y202" s="78"/>
      <c r="Z202" s="78"/>
      <c r="AA202" s="78"/>
    </row>
    <row r="203" spans="2:27" x14ac:dyDescent="0.3">
      <c r="B203" s="47" t="s">
        <v>148</v>
      </c>
      <c r="C203" s="47"/>
      <c r="D203" s="47"/>
      <c r="E203" s="47"/>
      <c r="F203" s="47"/>
      <c r="G203" s="49">
        <v>43231.955000000002</v>
      </c>
      <c r="H203" s="49">
        <v>41999.478999999999</v>
      </c>
      <c r="I203" s="49">
        <v>43164.040999999997</v>
      </c>
      <c r="J203" s="49">
        <v>45495.326000000001</v>
      </c>
      <c r="K203" s="49">
        <v>43258.477999999996</v>
      </c>
      <c r="L203" s="49">
        <v>41867.756999999991</v>
      </c>
      <c r="M203" s="49">
        <v>36040.239999999998</v>
      </c>
      <c r="N203" s="49">
        <v>41074.044999999998</v>
      </c>
      <c r="O203" s="49">
        <f t="shared" si="117"/>
        <v>39660.68066666666</v>
      </c>
      <c r="P203" s="49">
        <f>+O203</f>
        <v>39660.68066666666</v>
      </c>
      <c r="Q203" s="49">
        <f t="shared" ref="Q203:AA203" si="125">+P203</f>
        <v>39660.68066666666</v>
      </c>
      <c r="R203" s="49">
        <f t="shared" si="125"/>
        <v>39660.68066666666</v>
      </c>
      <c r="S203" s="49">
        <f t="shared" si="125"/>
        <v>39660.68066666666</v>
      </c>
      <c r="T203" s="49">
        <f t="shared" si="125"/>
        <v>39660.68066666666</v>
      </c>
      <c r="U203" s="49">
        <f t="shared" si="125"/>
        <v>39660.68066666666</v>
      </c>
      <c r="V203" s="49">
        <f t="shared" si="125"/>
        <v>39660.68066666666</v>
      </c>
      <c r="W203" s="49">
        <f t="shared" si="125"/>
        <v>39660.68066666666</v>
      </c>
      <c r="X203" s="49">
        <f t="shared" si="125"/>
        <v>39660.68066666666</v>
      </c>
      <c r="Y203" s="49">
        <f t="shared" si="125"/>
        <v>39660.68066666666</v>
      </c>
      <c r="Z203" s="49">
        <f t="shared" si="125"/>
        <v>39660.68066666666</v>
      </c>
      <c r="AA203" s="49">
        <f t="shared" si="125"/>
        <v>39660.68066666666</v>
      </c>
    </row>
    <row r="204" spans="2:27" x14ac:dyDescent="0.3">
      <c r="B204" s="57" t="s">
        <v>29</v>
      </c>
      <c r="C204" s="57"/>
      <c r="D204" s="57"/>
      <c r="E204" s="57"/>
      <c r="F204" s="57"/>
      <c r="G204" s="78"/>
      <c r="H204" s="78"/>
      <c r="I204" s="78"/>
      <c r="J204" s="78"/>
      <c r="K204" s="78"/>
      <c r="L204" s="78"/>
      <c r="M204" s="78"/>
      <c r="N204" s="78"/>
      <c r="O204" s="78"/>
      <c r="P204" s="78"/>
      <c r="Q204" s="78"/>
      <c r="R204" s="78"/>
      <c r="S204" s="78"/>
      <c r="T204" s="78"/>
      <c r="U204" s="78"/>
      <c r="V204" s="78"/>
      <c r="W204" s="78"/>
      <c r="X204" s="78"/>
      <c r="Y204" s="78"/>
      <c r="Z204" s="78"/>
      <c r="AA204" s="78"/>
    </row>
    <row r="205" spans="2:27" x14ac:dyDescent="0.3">
      <c r="B205" s="47" t="s">
        <v>149</v>
      </c>
      <c r="C205" s="395"/>
      <c r="D205" s="395"/>
      <c r="E205" s="47"/>
      <c r="F205" s="47"/>
      <c r="G205" s="49">
        <v>5956.3567500000081</v>
      </c>
      <c r="H205" s="49">
        <v>3270.2496729999998</v>
      </c>
      <c r="I205" s="49">
        <v>5549.0742733333336</v>
      </c>
      <c r="J205" s="49">
        <v>3766.9215449999997</v>
      </c>
      <c r="K205" s="49">
        <v>4567.3325349999996</v>
      </c>
      <c r="L205" s="49">
        <v>1658.2380349999999</v>
      </c>
      <c r="M205" s="49">
        <v>38.668450000000043</v>
      </c>
      <c r="N205" s="49">
        <v>0</v>
      </c>
      <c r="O205" s="49">
        <f t="shared" si="117"/>
        <v>565.63549499999999</v>
      </c>
      <c r="P205" s="49">
        <f t="shared" ref="P205:AA205" si="126">+O205</f>
        <v>565.63549499999999</v>
      </c>
      <c r="Q205" s="49">
        <f t="shared" si="126"/>
        <v>565.63549499999999</v>
      </c>
      <c r="R205" s="49">
        <f t="shared" si="126"/>
        <v>565.63549499999999</v>
      </c>
      <c r="S205" s="49">
        <f t="shared" si="126"/>
        <v>565.63549499999999</v>
      </c>
      <c r="T205" s="49">
        <f t="shared" si="126"/>
        <v>565.63549499999999</v>
      </c>
      <c r="U205" s="49">
        <f t="shared" si="126"/>
        <v>565.63549499999999</v>
      </c>
      <c r="V205" s="49">
        <f t="shared" si="126"/>
        <v>565.63549499999999</v>
      </c>
      <c r="W205" s="49">
        <f t="shared" si="126"/>
        <v>565.63549499999999</v>
      </c>
      <c r="X205" s="49">
        <f t="shared" si="126"/>
        <v>565.63549499999999</v>
      </c>
      <c r="Y205" s="49">
        <f t="shared" si="126"/>
        <v>565.63549499999999</v>
      </c>
      <c r="Z205" s="49">
        <f t="shared" si="126"/>
        <v>565.63549499999999</v>
      </c>
      <c r="AA205" s="49">
        <f t="shared" si="126"/>
        <v>565.63549499999999</v>
      </c>
    </row>
    <row r="206" spans="2:27" x14ac:dyDescent="0.3">
      <c r="B206" s="47" t="s">
        <v>173</v>
      </c>
      <c r="C206" s="47"/>
      <c r="D206" s="47"/>
      <c r="E206" s="47"/>
      <c r="F206" s="47"/>
      <c r="G206" s="49">
        <v>106123.25798427663</v>
      </c>
      <c r="H206" s="49">
        <v>124388.162</v>
      </c>
      <c r="I206" s="49">
        <v>135330.64200000002</v>
      </c>
      <c r="J206" s="49">
        <v>141958.08270668716</v>
      </c>
      <c r="K206" s="49">
        <v>127364.10300000003</v>
      </c>
      <c r="L206" s="49">
        <v>130614.54000000001</v>
      </c>
      <c r="M206" s="49">
        <v>50256.089999999975</v>
      </c>
      <c r="N206" s="49">
        <v>127227.77000000002</v>
      </c>
      <c r="O206" s="49">
        <f t="shared" si="117"/>
        <v>102699.46666666667</v>
      </c>
      <c r="P206" s="49">
        <f t="shared" ref="P206:AA206" si="127">+O206</f>
        <v>102699.46666666667</v>
      </c>
      <c r="Q206" s="49">
        <f t="shared" si="127"/>
        <v>102699.46666666667</v>
      </c>
      <c r="R206" s="49">
        <f t="shared" si="127"/>
        <v>102699.46666666667</v>
      </c>
      <c r="S206" s="49">
        <f t="shared" si="127"/>
        <v>102699.46666666667</v>
      </c>
      <c r="T206" s="49">
        <f t="shared" si="127"/>
        <v>102699.46666666667</v>
      </c>
      <c r="U206" s="49">
        <f t="shared" si="127"/>
        <v>102699.46666666667</v>
      </c>
      <c r="V206" s="49">
        <f t="shared" si="127"/>
        <v>102699.46666666667</v>
      </c>
      <c r="W206" s="49">
        <f t="shared" si="127"/>
        <v>102699.46666666667</v>
      </c>
      <c r="X206" s="49">
        <f t="shared" si="127"/>
        <v>102699.46666666667</v>
      </c>
      <c r="Y206" s="49">
        <f t="shared" si="127"/>
        <v>102699.46666666667</v>
      </c>
      <c r="Z206" s="49">
        <f t="shared" si="127"/>
        <v>102699.46666666667</v>
      </c>
      <c r="AA206" s="49">
        <f t="shared" si="127"/>
        <v>102699.46666666667</v>
      </c>
    </row>
    <row r="207" spans="2:27" x14ac:dyDescent="0.3">
      <c r="B207" s="57" t="s">
        <v>30</v>
      </c>
      <c r="C207" s="57"/>
      <c r="D207" s="57"/>
      <c r="E207" s="57"/>
      <c r="F207" s="57"/>
      <c r="G207" s="78"/>
      <c r="H207" s="78"/>
      <c r="I207" s="78"/>
      <c r="J207" s="78"/>
      <c r="K207" s="78"/>
      <c r="L207" s="78"/>
      <c r="M207" s="78"/>
      <c r="N207" s="78"/>
      <c r="O207" s="78"/>
      <c r="P207" s="78"/>
      <c r="Q207" s="78"/>
      <c r="R207" s="78"/>
      <c r="S207" s="78"/>
      <c r="T207" s="78"/>
      <c r="U207" s="78"/>
      <c r="V207" s="78"/>
      <c r="W207" s="78"/>
      <c r="X207" s="78"/>
      <c r="Y207" s="78"/>
      <c r="Z207" s="78"/>
      <c r="AA207" s="78"/>
    </row>
    <row r="208" spans="2:27" x14ac:dyDescent="0.3">
      <c r="B208" s="47" t="s">
        <v>145</v>
      </c>
      <c r="C208" s="47"/>
      <c r="D208" s="47"/>
      <c r="E208" s="47"/>
      <c r="F208" s="47"/>
      <c r="G208" s="49">
        <v>12172.712</v>
      </c>
      <c r="H208" s="49">
        <v>11726.216</v>
      </c>
      <c r="I208" s="49">
        <v>12408.229999999998</v>
      </c>
      <c r="J208" s="49">
        <v>12482.189999999999</v>
      </c>
      <c r="K208" s="49">
        <v>11577.643</v>
      </c>
      <c r="L208" s="49">
        <v>11539.983</v>
      </c>
      <c r="M208" s="49">
        <v>9108.7590000000018</v>
      </c>
      <c r="N208" s="49">
        <v>10812.361999999999</v>
      </c>
      <c r="O208" s="49">
        <f t="shared" si="117"/>
        <v>10487.034666666666</v>
      </c>
      <c r="P208" s="49">
        <f t="shared" ref="P208:AA208" si="128">+O208</f>
        <v>10487.034666666666</v>
      </c>
      <c r="Q208" s="49">
        <f t="shared" si="128"/>
        <v>10487.034666666666</v>
      </c>
      <c r="R208" s="49">
        <f t="shared" si="128"/>
        <v>10487.034666666666</v>
      </c>
      <c r="S208" s="49">
        <f t="shared" si="128"/>
        <v>10487.034666666666</v>
      </c>
      <c r="T208" s="49">
        <f t="shared" si="128"/>
        <v>10487.034666666666</v>
      </c>
      <c r="U208" s="49">
        <f t="shared" si="128"/>
        <v>10487.034666666666</v>
      </c>
      <c r="V208" s="49">
        <f t="shared" si="128"/>
        <v>10487.034666666666</v>
      </c>
      <c r="W208" s="49">
        <f t="shared" si="128"/>
        <v>10487.034666666666</v>
      </c>
      <c r="X208" s="49">
        <f t="shared" si="128"/>
        <v>10487.034666666666</v>
      </c>
      <c r="Y208" s="49">
        <f t="shared" si="128"/>
        <v>10487.034666666666</v>
      </c>
      <c r="Z208" s="49">
        <f t="shared" si="128"/>
        <v>10487.034666666666</v>
      </c>
      <c r="AA208" s="49">
        <f t="shared" si="128"/>
        <v>10487.034666666666</v>
      </c>
    </row>
    <row r="209" spans="2:27" x14ac:dyDescent="0.3">
      <c r="B209" s="47" t="s">
        <v>146</v>
      </c>
      <c r="C209" s="47"/>
      <c r="D209" s="47"/>
      <c r="E209" s="47"/>
      <c r="F209" s="47"/>
      <c r="G209" s="49">
        <v>14106.915000000001</v>
      </c>
      <c r="H209" s="49">
        <v>13902.388999999999</v>
      </c>
      <c r="I209" s="49">
        <v>15012.157999999999</v>
      </c>
      <c r="J209" s="49">
        <v>15518.906999999997</v>
      </c>
      <c r="K209" s="49">
        <v>14227.504000000001</v>
      </c>
      <c r="L209" s="49">
        <v>14778.668000000003</v>
      </c>
      <c r="M209" s="49">
        <v>11847.556</v>
      </c>
      <c r="N209" s="49">
        <v>13785.387999999999</v>
      </c>
      <c r="O209" s="49">
        <f t="shared" si="117"/>
        <v>13470.537333333334</v>
      </c>
      <c r="P209" s="49">
        <f t="shared" ref="P209:AA209" si="129">+O209</f>
        <v>13470.537333333334</v>
      </c>
      <c r="Q209" s="49">
        <f t="shared" si="129"/>
        <v>13470.537333333334</v>
      </c>
      <c r="R209" s="49">
        <f t="shared" si="129"/>
        <v>13470.537333333334</v>
      </c>
      <c r="S209" s="49">
        <f t="shared" si="129"/>
        <v>13470.537333333334</v>
      </c>
      <c r="T209" s="49">
        <f t="shared" si="129"/>
        <v>13470.537333333334</v>
      </c>
      <c r="U209" s="49">
        <f t="shared" si="129"/>
        <v>13470.537333333334</v>
      </c>
      <c r="V209" s="49">
        <f t="shared" si="129"/>
        <v>13470.537333333334</v>
      </c>
      <c r="W209" s="49">
        <f t="shared" si="129"/>
        <v>13470.537333333334</v>
      </c>
      <c r="X209" s="49">
        <f t="shared" si="129"/>
        <v>13470.537333333334</v>
      </c>
      <c r="Y209" s="49">
        <f t="shared" si="129"/>
        <v>13470.537333333334</v>
      </c>
      <c r="Z209" s="49">
        <f t="shared" si="129"/>
        <v>13470.537333333334</v>
      </c>
      <c r="AA209" s="49">
        <f t="shared" si="129"/>
        <v>13470.537333333334</v>
      </c>
    </row>
    <row r="210" spans="2:27" x14ac:dyDescent="0.3">
      <c r="B210" s="47" t="s">
        <v>147</v>
      </c>
      <c r="C210" s="395"/>
      <c r="D210" s="395"/>
      <c r="E210" s="47"/>
      <c r="F210" s="47"/>
      <c r="G210" s="49">
        <v>11843.383000000002</v>
      </c>
      <c r="H210" s="49">
        <v>11428.677</v>
      </c>
      <c r="I210" s="49">
        <v>12088.935999999998</v>
      </c>
      <c r="J210" s="49">
        <v>12150.215</v>
      </c>
      <c r="K210" s="49">
        <v>11142.393000000002</v>
      </c>
      <c r="L210" s="49">
        <v>11178.842000000001</v>
      </c>
      <c r="M210" s="49">
        <v>9006.9719999999979</v>
      </c>
      <c r="N210" s="49">
        <v>10677.777000000002</v>
      </c>
      <c r="O210" s="49">
        <f>+AVERAGE(L210:N210)</f>
        <v>10287.863666666666</v>
      </c>
      <c r="P210" s="49"/>
      <c r="Q210" s="49"/>
      <c r="R210" s="49"/>
      <c r="S210" s="49"/>
      <c r="T210" s="49"/>
      <c r="U210" s="49"/>
      <c r="V210" s="49"/>
      <c r="W210" s="49"/>
      <c r="X210" s="49"/>
      <c r="Y210" s="49"/>
      <c r="Z210" s="49"/>
      <c r="AA210" s="49"/>
    </row>
    <row r="211" spans="2:27" x14ac:dyDescent="0.3">
      <c r="B211" s="57" t="s">
        <v>31</v>
      </c>
      <c r="C211" s="57"/>
      <c r="D211" s="57"/>
      <c r="E211" s="57"/>
      <c r="F211" s="57"/>
      <c r="G211" s="78"/>
      <c r="H211" s="78"/>
      <c r="I211" s="78"/>
      <c r="J211" s="78"/>
      <c r="K211" s="78"/>
      <c r="L211" s="78"/>
      <c r="M211" s="78"/>
      <c r="N211" s="78"/>
      <c r="O211" s="78"/>
      <c r="P211" s="78"/>
      <c r="Q211" s="78"/>
      <c r="R211" s="78"/>
      <c r="S211" s="78"/>
      <c r="T211" s="78"/>
      <c r="U211" s="78"/>
      <c r="V211" s="78"/>
      <c r="W211" s="78"/>
      <c r="X211" s="78"/>
      <c r="Y211" s="78"/>
      <c r="Z211" s="78"/>
      <c r="AA211" s="78"/>
    </row>
    <row r="212" spans="2:27" x14ac:dyDescent="0.3">
      <c r="B212" s="47" t="s">
        <v>136</v>
      </c>
      <c r="C212" s="47"/>
      <c r="D212" s="47"/>
      <c r="E212" s="47"/>
      <c r="F212" s="47"/>
      <c r="G212" s="49">
        <v>63528.492000000006</v>
      </c>
      <c r="H212" s="49">
        <v>66072.78</v>
      </c>
      <c r="I212" s="49">
        <v>69551.442999999999</v>
      </c>
      <c r="J212" s="49">
        <v>71908.643000000011</v>
      </c>
      <c r="K212" s="49">
        <v>64762.602000000014</v>
      </c>
      <c r="L212" s="49">
        <v>71255.490000000005</v>
      </c>
      <c r="M212" s="49">
        <v>53061.766000000011</v>
      </c>
      <c r="N212" s="49">
        <v>68171.011999999988</v>
      </c>
      <c r="O212" s="49">
        <f t="shared" ref="O212:O213" si="130">+AVERAGE(L212:N212)</f>
        <v>64162.756000000001</v>
      </c>
      <c r="P212" s="49">
        <f t="shared" ref="P212:AA212" si="131">+O212</f>
        <v>64162.756000000001</v>
      </c>
      <c r="Q212" s="49">
        <f t="shared" si="131"/>
        <v>64162.756000000001</v>
      </c>
      <c r="R212" s="49">
        <f t="shared" si="131"/>
        <v>64162.756000000001</v>
      </c>
      <c r="S212" s="49">
        <f t="shared" si="131"/>
        <v>64162.756000000001</v>
      </c>
      <c r="T212" s="49">
        <f t="shared" si="131"/>
        <v>64162.756000000001</v>
      </c>
      <c r="U212" s="49">
        <f t="shared" si="131"/>
        <v>64162.756000000001</v>
      </c>
      <c r="V212" s="49">
        <f t="shared" si="131"/>
        <v>64162.756000000001</v>
      </c>
      <c r="W212" s="49">
        <f t="shared" si="131"/>
        <v>64162.756000000001</v>
      </c>
      <c r="X212" s="49">
        <f t="shared" si="131"/>
        <v>64162.756000000001</v>
      </c>
      <c r="Y212" s="49">
        <f t="shared" si="131"/>
        <v>64162.756000000001</v>
      </c>
      <c r="Z212" s="49">
        <f t="shared" si="131"/>
        <v>64162.756000000001</v>
      </c>
      <c r="AA212" s="49">
        <f t="shared" si="131"/>
        <v>64162.756000000001</v>
      </c>
    </row>
    <row r="213" spans="2:27" x14ac:dyDescent="0.3">
      <c r="B213" s="47" t="s">
        <v>137</v>
      </c>
      <c r="C213" s="47"/>
      <c r="D213" s="47"/>
      <c r="E213" s="47"/>
      <c r="F213" s="47"/>
      <c r="G213" s="49">
        <v>62589.967000000004</v>
      </c>
      <c r="H213" s="49">
        <v>67733.377999999997</v>
      </c>
      <c r="I213" s="49">
        <v>64736.137999999999</v>
      </c>
      <c r="J213" s="49">
        <v>72200.594999999987</v>
      </c>
      <c r="K213" s="49">
        <v>62725.933999999994</v>
      </c>
      <c r="L213" s="49">
        <v>67719.197</v>
      </c>
      <c r="M213" s="49">
        <v>53897.992999999995</v>
      </c>
      <c r="N213" s="49">
        <v>66329.928</v>
      </c>
      <c r="O213" s="49">
        <f t="shared" si="130"/>
        <v>62649.039333333341</v>
      </c>
      <c r="P213" s="49">
        <f t="shared" ref="P213:AA213" si="132">+O213</f>
        <v>62649.039333333341</v>
      </c>
      <c r="Q213" s="49">
        <f t="shared" si="132"/>
        <v>62649.039333333341</v>
      </c>
      <c r="R213" s="49">
        <f t="shared" si="132"/>
        <v>62649.039333333341</v>
      </c>
      <c r="S213" s="49">
        <f t="shared" si="132"/>
        <v>62649.039333333341</v>
      </c>
      <c r="T213" s="49">
        <f t="shared" si="132"/>
        <v>62649.039333333341</v>
      </c>
      <c r="U213" s="49">
        <f t="shared" si="132"/>
        <v>62649.039333333341</v>
      </c>
      <c r="V213" s="49">
        <f t="shared" si="132"/>
        <v>62649.039333333341</v>
      </c>
      <c r="W213" s="49">
        <f t="shared" si="132"/>
        <v>62649.039333333341</v>
      </c>
      <c r="X213" s="49">
        <f t="shared" si="132"/>
        <v>62649.039333333341</v>
      </c>
      <c r="Y213" s="49">
        <f t="shared" si="132"/>
        <v>62649.039333333341</v>
      </c>
      <c r="Z213" s="49">
        <f t="shared" si="132"/>
        <v>62649.039333333341</v>
      </c>
      <c r="AA213" s="49">
        <f t="shared" si="132"/>
        <v>62649.039333333341</v>
      </c>
    </row>
    <row r="214" spans="2:27" x14ac:dyDescent="0.3">
      <c r="B214" s="57" t="s">
        <v>3</v>
      </c>
      <c r="C214" s="57"/>
      <c r="D214" s="57"/>
      <c r="E214" s="57"/>
      <c r="F214" s="57"/>
      <c r="G214" s="78"/>
      <c r="H214" s="78"/>
      <c r="I214" s="78"/>
      <c r="J214" s="78"/>
      <c r="K214" s="78"/>
      <c r="L214" s="78"/>
      <c r="M214" s="78"/>
      <c r="N214" s="78"/>
      <c r="O214" s="78"/>
      <c r="P214" s="78"/>
      <c r="Q214" s="78"/>
      <c r="R214" s="78"/>
      <c r="S214" s="78"/>
      <c r="T214" s="78"/>
      <c r="U214" s="78"/>
      <c r="V214" s="78"/>
      <c r="W214" s="78"/>
      <c r="X214" s="78"/>
      <c r="Y214" s="78"/>
      <c r="Z214" s="78"/>
      <c r="AA214" s="78"/>
    </row>
    <row r="215" spans="2:27" x14ac:dyDescent="0.3">
      <c r="B215" s="47" t="s">
        <v>121</v>
      </c>
      <c r="C215" s="47"/>
      <c r="D215" s="47"/>
      <c r="E215" s="47"/>
      <c r="F215" s="47"/>
      <c r="G215" s="49">
        <v>280767.663</v>
      </c>
      <c r="H215" s="49">
        <v>317689.14</v>
      </c>
      <c r="I215" s="49">
        <v>325459.11999999994</v>
      </c>
      <c r="J215" s="49">
        <v>373791.26</v>
      </c>
      <c r="K215" s="49">
        <v>371305.77999999997</v>
      </c>
      <c r="L215" s="49">
        <v>377176.696</v>
      </c>
      <c r="M215" s="49">
        <v>214629.93900000001</v>
      </c>
      <c r="N215" s="49">
        <v>284284.71100000001</v>
      </c>
      <c r="O215" s="49">
        <f>+AVERAGE(L215:N215)</f>
        <v>292030.44866666669</v>
      </c>
      <c r="P215" s="49">
        <f>+O215</f>
        <v>292030.44866666669</v>
      </c>
      <c r="Q215" s="49">
        <f t="shared" ref="Q215:AA215" si="133">+P215</f>
        <v>292030.44866666669</v>
      </c>
      <c r="R215" s="49">
        <f t="shared" si="133"/>
        <v>292030.44866666669</v>
      </c>
      <c r="S215" s="49">
        <f t="shared" si="133"/>
        <v>292030.44866666669</v>
      </c>
      <c r="T215" s="49">
        <f t="shared" si="133"/>
        <v>292030.44866666669</v>
      </c>
      <c r="U215" s="49">
        <f t="shared" si="133"/>
        <v>292030.44866666669</v>
      </c>
      <c r="V215" s="49">
        <f t="shared" si="133"/>
        <v>292030.44866666669</v>
      </c>
      <c r="W215" s="49">
        <f t="shared" si="133"/>
        <v>292030.44866666669</v>
      </c>
      <c r="X215" s="49">
        <f t="shared" si="133"/>
        <v>292030.44866666669</v>
      </c>
      <c r="Y215" s="49">
        <f t="shared" si="133"/>
        <v>292030.44866666669</v>
      </c>
      <c r="Z215" s="49">
        <f t="shared" si="133"/>
        <v>292030.44866666669</v>
      </c>
      <c r="AA215" s="49">
        <f t="shared" si="133"/>
        <v>292030.44866666669</v>
      </c>
    </row>
    <row r="216" spans="2:27" x14ac:dyDescent="0.3">
      <c r="B216" s="57" t="s">
        <v>33</v>
      </c>
      <c r="C216" s="57"/>
      <c r="D216" s="57"/>
      <c r="E216" s="57"/>
      <c r="F216" s="57"/>
      <c r="G216" s="78"/>
      <c r="H216" s="78"/>
      <c r="I216" s="78"/>
      <c r="J216" s="78"/>
      <c r="K216" s="78"/>
      <c r="L216" s="78"/>
      <c r="M216" s="78"/>
      <c r="N216" s="78"/>
      <c r="O216" s="78"/>
      <c r="P216" s="78"/>
      <c r="Q216" s="78"/>
      <c r="R216" s="78"/>
      <c r="S216" s="78"/>
      <c r="T216" s="78"/>
      <c r="U216" s="78"/>
      <c r="V216" s="78"/>
      <c r="W216" s="78"/>
      <c r="X216" s="78"/>
      <c r="Y216" s="78"/>
      <c r="Z216" s="78"/>
      <c r="AA216" s="78"/>
    </row>
    <row r="217" spans="2:27" x14ac:dyDescent="0.3">
      <c r="B217" s="47" t="s">
        <v>128</v>
      </c>
      <c r="C217" s="395"/>
      <c r="D217" s="395"/>
      <c r="E217" s="47"/>
      <c r="F217" s="47"/>
      <c r="G217" s="49">
        <v>7186.3240000000005</v>
      </c>
      <c r="H217" s="49">
        <v>9743.3469999999998</v>
      </c>
      <c r="I217" s="49">
        <v>9415.1349999999984</v>
      </c>
      <c r="J217" s="49">
        <v>6458.4300000000012</v>
      </c>
      <c r="K217" s="49">
        <v>5475.3140000000012</v>
      </c>
      <c r="L217" s="49">
        <v>14181.028999999999</v>
      </c>
      <c r="M217" s="49">
        <v>4440.6810000000005</v>
      </c>
      <c r="N217" s="49">
        <v>9498.8819999999996</v>
      </c>
      <c r="O217" s="49">
        <f>+AVERAGE(L217:N217)</f>
        <v>9373.5306666666656</v>
      </c>
      <c r="P217" s="49">
        <f t="shared" ref="P217:AA217" si="134">+O217</f>
        <v>9373.5306666666656</v>
      </c>
      <c r="Q217" s="49">
        <f t="shared" si="134"/>
        <v>9373.5306666666656</v>
      </c>
      <c r="R217" s="49">
        <f t="shared" si="134"/>
        <v>9373.5306666666656</v>
      </c>
      <c r="S217" s="49">
        <f t="shared" si="134"/>
        <v>9373.5306666666656</v>
      </c>
      <c r="T217" s="49">
        <f t="shared" si="134"/>
        <v>9373.5306666666656</v>
      </c>
      <c r="U217" s="49">
        <f t="shared" si="134"/>
        <v>9373.5306666666656</v>
      </c>
      <c r="V217" s="49">
        <f t="shared" si="134"/>
        <v>9373.5306666666656</v>
      </c>
      <c r="W217" s="49">
        <f t="shared" si="134"/>
        <v>9373.5306666666656</v>
      </c>
      <c r="X217" s="49">
        <f t="shared" si="134"/>
        <v>9373.5306666666656</v>
      </c>
      <c r="Y217" s="49">
        <f t="shared" si="134"/>
        <v>9373.5306666666656</v>
      </c>
      <c r="Z217" s="49">
        <f t="shared" si="134"/>
        <v>9373.5306666666656</v>
      </c>
      <c r="AA217" s="49">
        <f t="shared" si="134"/>
        <v>9373.5306666666656</v>
      </c>
    </row>
    <row r="218" spans="2:27" x14ac:dyDescent="0.3">
      <c r="B218" s="47" t="s">
        <v>129</v>
      </c>
      <c r="C218" s="47"/>
      <c r="D218" s="47"/>
      <c r="E218" s="47"/>
      <c r="F218" s="47"/>
      <c r="G218" s="49">
        <v>6993.1389999999992</v>
      </c>
      <c r="H218" s="49">
        <v>9282.0769999999993</v>
      </c>
      <c r="I218" s="49">
        <v>8698.5240000000013</v>
      </c>
      <c r="J218" s="49">
        <v>5753.3399999999992</v>
      </c>
      <c r="K218" s="49">
        <v>4912.893</v>
      </c>
      <c r="L218" s="49">
        <v>12898.888999999999</v>
      </c>
      <c r="M218" s="49">
        <v>5619.9069999999992</v>
      </c>
      <c r="N218" s="49">
        <v>9023.6689999999999</v>
      </c>
      <c r="O218" s="49">
        <f t="shared" ref="O218:O227" si="135">+AVERAGE(L218:N218)</f>
        <v>9180.8216666666649</v>
      </c>
      <c r="P218" s="49">
        <f t="shared" ref="P218:AA218" si="136">+O218</f>
        <v>9180.8216666666649</v>
      </c>
      <c r="Q218" s="49">
        <f t="shared" si="136"/>
        <v>9180.8216666666649</v>
      </c>
      <c r="R218" s="49">
        <f t="shared" si="136"/>
        <v>9180.8216666666649</v>
      </c>
      <c r="S218" s="49">
        <f t="shared" si="136"/>
        <v>9180.8216666666649</v>
      </c>
      <c r="T218" s="49">
        <f t="shared" si="136"/>
        <v>9180.8216666666649</v>
      </c>
      <c r="U218" s="49">
        <f t="shared" si="136"/>
        <v>9180.8216666666649</v>
      </c>
      <c r="V218" s="49">
        <f t="shared" si="136"/>
        <v>9180.8216666666649</v>
      </c>
      <c r="W218" s="49">
        <f t="shared" si="136"/>
        <v>9180.8216666666649</v>
      </c>
      <c r="X218" s="49">
        <f t="shared" si="136"/>
        <v>9180.8216666666649</v>
      </c>
      <c r="Y218" s="49">
        <f t="shared" si="136"/>
        <v>9180.8216666666649</v>
      </c>
      <c r="Z218" s="49">
        <f t="shared" si="136"/>
        <v>9180.8216666666649</v>
      </c>
      <c r="AA218" s="49">
        <f t="shared" si="136"/>
        <v>9180.8216666666649</v>
      </c>
    </row>
    <row r="219" spans="2:27" x14ac:dyDescent="0.3">
      <c r="B219" s="47" t="s">
        <v>130</v>
      </c>
      <c r="C219" s="395"/>
      <c r="D219" s="395"/>
      <c r="E219" s="47"/>
      <c r="F219" s="47"/>
      <c r="G219" s="49">
        <v>6822.6170000000011</v>
      </c>
      <c r="H219" s="49">
        <v>9067.5030000000006</v>
      </c>
      <c r="I219" s="49">
        <v>8820.1739999999991</v>
      </c>
      <c r="J219" s="49">
        <v>6045.0469999999987</v>
      </c>
      <c r="K219" s="49">
        <v>5060.7860000000001</v>
      </c>
      <c r="L219" s="49">
        <v>13386.753999999999</v>
      </c>
      <c r="M219" s="49">
        <v>5422.3110000000006</v>
      </c>
      <c r="N219" s="49">
        <v>8865.5539999999983</v>
      </c>
      <c r="O219" s="49">
        <f t="shared" si="135"/>
        <v>9224.8729999999996</v>
      </c>
      <c r="P219" s="49">
        <f t="shared" ref="P219:AA219" si="137">+O219</f>
        <v>9224.8729999999996</v>
      </c>
      <c r="Q219" s="49">
        <f t="shared" si="137"/>
        <v>9224.8729999999996</v>
      </c>
      <c r="R219" s="49">
        <f t="shared" si="137"/>
        <v>9224.8729999999996</v>
      </c>
      <c r="S219" s="49">
        <f t="shared" si="137"/>
        <v>9224.8729999999996</v>
      </c>
      <c r="T219" s="49">
        <f t="shared" si="137"/>
        <v>9224.8729999999996</v>
      </c>
      <c r="U219" s="49">
        <f t="shared" si="137"/>
        <v>9224.8729999999996</v>
      </c>
      <c r="V219" s="49">
        <f t="shared" si="137"/>
        <v>9224.8729999999996</v>
      </c>
      <c r="W219" s="49">
        <f t="shared" si="137"/>
        <v>9224.8729999999996</v>
      </c>
      <c r="X219" s="49">
        <f t="shared" si="137"/>
        <v>9224.8729999999996</v>
      </c>
      <c r="Y219" s="49">
        <f t="shared" si="137"/>
        <v>9224.8729999999996</v>
      </c>
      <c r="Z219" s="49">
        <f t="shared" si="137"/>
        <v>9224.8729999999996</v>
      </c>
      <c r="AA219" s="49">
        <f t="shared" si="137"/>
        <v>9224.8729999999996</v>
      </c>
    </row>
    <row r="220" spans="2:27" x14ac:dyDescent="0.3">
      <c r="B220" s="47" t="s">
        <v>131</v>
      </c>
      <c r="C220" s="47"/>
      <c r="D220" s="47"/>
      <c r="E220" s="47"/>
      <c r="F220" s="47"/>
      <c r="G220" s="49">
        <v>5297.4830000000002</v>
      </c>
      <c r="H220" s="49">
        <v>6581.7929999999997</v>
      </c>
      <c r="I220" s="49">
        <v>6336.6400000000012</v>
      </c>
      <c r="J220" s="49">
        <v>4570.0379999999996</v>
      </c>
      <c r="K220" s="49">
        <v>3245.1849999999999</v>
      </c>
      <c r="L220" s="49">
        <v>6687.3670912745001</v>
      </c>
      <c r="M220" s="49">
        <v>2561.4390000000003</v>
      </c>
      <c r="N220" s="49">
        <v>4531.527000000001</v>
      </c>
      <c r="O220" s="49">
        <f t="shared" si="135"/>
        <v>4593.4443637581671</v>
      </c>
      <c r="P220" s="49">
        <f t="shared" ref="P220:AA220" si="138">+O220</f>
        <v>4593.4443637581671</v>
      </c>
      <c r="Q220" s="49">
        <f t="shared" si="138"/>
        <v>4593.4443637581671</v>
      </c>
      <c r="R220" s="49">
        <f t="shared" si="138"/>
        <v>4593.4443637581671</v>
      </c>
      <c r="S220" s="49">
        <f t="shared" si="138"/>
        <v>4593.4443637581671</v>
      </c>
      <c r="T220" s="49">
        <f t="shared" si="138"/>
        <v>4593.4443637581671</v>
      </c>
      <c r="U220" s="49">
        <f t="shared" si="138"/>
        <v>4593.4443637581671</v>
      </c>
      <c r="V220" s="49">
        <f t="shared" si="138"/>
        <v>4593.4443637581671</v>
      </c>
      <c r="W220" s="49">
        <f t="shared" si="138"/>
        <v>4593.4443637581671</v>
      </c>
      <c r="X220" s="49">
        <f t="shared" si="138"/>
        <v>4593.4443637581671</v>
      </c>
      <c r="Y220" s="49">
        <f t="shared" si="138"/>
        <v>4593.4443637581671</v>
      </c>
      <c r="Z220" s="49">
        <f t="shared" si="138"/>
        <v>4593.4443637581671</v>
      </c>
      <c r="AA220" s="49">
        <f t="shared" si="138"/>
        <v>4593.4443637581671</v>
      </c>
    </row>
    <row r="221" spans="2:27" x14ac:dyDescent="0.3">
      <c r="B221" s="47" t="s">
        <v>132</v>
      </c>
      <c r="C221" s="47"/>
      <c r="D221" s="47"/>
      <c r="E221" s="47"/>
      <c r="F221" s="47"/>
      <c r="G221" s="49">
        <v>90321.68</v>
      </c>
      <c r="H221" s="49">
        <v>94885.142000000007</v>
      </c>
      <c r="I221" s="49">
        <v>92591.819999999992</v>
      </c>
      <c r="J221" s="49">
        <v>80968.934000000008</v>
      </c>
      <c r="K221" s="49">
        <v>71783.653000000006</v>
      </c>
      <c r="L221" s="49">
        <v>80462.043000000005</v>
      </c>
      <c r="M221" s="49">
        <v>75993.778999999995</v>
      </c>
      <c r="N221" s="49">
        <v>96164.228000000003</v>
      </c>
      <c r="O221" s="49">
        <f t="shared" si="135"/>
        <v>84206.683333333334</v>
      </c>
      <c r="P221" s="49">
        <f t="shared" ref="P221:AA221" si="139">+O221</f>
        <v>84206.683333333334</v>
      </c>
      <c r="Q221" s="49">
        <f t="shared" si="139"/>
        <v>84206.683333333334</v>
      </c>
      <c r="R221" s="49">
        <f t="shared" si="139"/>
        <v>84206.683333333334</v>
      </c>
      <c r="S221" s="49">
        <f t="shared" si="139"/>
        <v>84206.683333333334</v>
      </c>
      <c r="T221" s="49">
        <f t="shared" si="139"/>
        <v>84206.683333333334</v>
      </c>
      <c r="U221" s="49">
        <f t="shared" si="139"/>
        <v>84206.683333333334</v>
      </c>
      <c r="V221" s="49">
        <f t="shared" si="139"/>
        <v>84206.683333333334</v>
      </c>
      <c r="W221" s="49">
        <f t="shared" si="139"/>
        <v>84206.683333333334</v>
      </c>
      <c r="X221" s="49">
        <f t="shared" si="139"/>
        <v>84206.683333333334</v>
      </c>
      <c r="Y221" s="49">
        <f t="shared" si="139"/>
        <v>84206.683333333334</v>
      </c>
      <c r="Z221" s="49">
        <f t="shared" si="139"/>
        <v>84206.683333333334</v>
      </c>
      <c r="AA221" s="49">
        <f t="shared" si="139"/>
        <v>84206.683333333334</v>
      </c>
    </row>
    <row r="222" spans="2:27" x14ac:dyDescent="0.3">
      <c r="B222" s="57" t="s">
        <v>34</v>
      </c>
      <c r="C222" s="57"/>
      <c r="D222" s="57"/>
      <c r="E222" s="57"/>
      <c r="F222" s="57"/>
      <c r="G222" s="78"/>
      <c r="H222" s="78"/>
      <c r="I222" s="78"/>
      <c r="J222" s="78"/>
      <c r="K222" s="78"/>
      <c r="L222" s="78"/>
      <c r="M222" s="78"/>
      <c r="N222" s="78"/>
      <c r="O222" s="78"/>
      <c r="P222" s="78"/>
      <c r="Q222" s="78"/>
      <c r="R222" s="78"/>
      <c r="S222" s="78"/>
      <c r="T222" s="78"/>
      <c r="U222" s="78"/>
      <c r="V222" s="78"/>
      <c r="W222" s="78"/>
      <c r="X222" s="78"/>
      <c r="Y222" s="78"/>
      <c r="Z222" s="78"/>
      <c r="AA222" s="78"/>
    </row>
    <row r="223" spans="2:27" x14ac:dyDescent="0.3">
      <c r="B223" s="47" t="s">
        <v>138</v>
      </c>
      <c r="C223" s="47"/>
      <c r="D223" s="47"/>
      <c r="E223" s="47"/>
      <c r="F223" s="47"/>
      <c r="G223" s="49">
        <v>79080.590999999986</v>
      </c>
      <c r="H223" s="49">
        <v>83215.97</v>
      </c>
      <c r="I223" s="49">
        <v>78452.136999999988</v>
      </c>
      <c r="J223" s="49">
        <v>86076.892000000022</v>
      </c>
      <c r="K223" s="49">
        <v>78528.325000000012</v>
      </c>
      <c r="L223" s="49">
        <v>81849.416999999987</v>
      </c>
      <c r="M223" s="49">
        <v>63047.572</v>
      </c>
      <c r="N223" s="49">
        <v>79535.85500000001</v>
      </c>
      <c r="O223" s="49">
        <f t="shared" si="135"/>
        <v>74810.948000000004</v>
      </c>
      <c r="P223" s="49">
        <f t="shared" ref="P223:AA223" si="140">+O223</f>
        <v>74810.948000000004</v>
      </c>
      <c r="Q223" s="49">
        <f t="shared" si="140"/>
        <v>74810.948000000004</v>
      </c>
      <c r="R223" s="49">
        <f t="shared" si="140"/>
        <v>74810.948000000004</v>
      </c>
      <c r="S223" s="49">
        <f t="shared" si="140"/>
        <v>74810.948000000004</v>
      </c>
      <c r="T223" s="49">
        <f t="shared" si="140"/>
        <v>74810.948000000004</v>
      </c>
      <c r="U223" s="49">
        <f t="shared" si="140"/>
        <v>74810.948000000004</v>
      </c>
      <c r="V223" s="49">
        <f t="shared" si="140"/>
        <v>74810.948000000004</v>
      </c>
      <c r="W223" s="49">
        <f t="shared" si="140"/>
        <v>74810.948000000004</v>
      </c>
      <c r="X223" s="49">
        <f t="shared" si="140"/>
        <v>74810.948000000004</v>
      </c>
      <c r="Y223" s="49">
        <f t="shared" si="140"/>
        <v>74810.948000000004</v>
      </c>
      <c r="Z223" s="49">
        <f t="shared" si="140"/>
        <v>74810.948000000004</v>
      </c>
      <c r="AA223" s="49">
        <f t="shared" si="140"/>
        <v>74810.948000000004</v>
      </c>
    </row>
    <row r="224" spans="2:27" x14ac:dyDescent="0.3">
      <c r="B224" s="47" t="s">
        <v>139</v>
      </c>
      <c r="C224" s="47"/>
      <c r="D224" s="47"/>
      <c r="E224" s="47"/>
      <c r="F224" s="47"/>
      <c r="G224" s="49">
        <v>77042.933999999994</v>
      </c>
      <c r="H224" s="49">
        <v>78275.415999999997</v>
      </c>
      <c r="I224" s="49">
        <v>73415.542000000016</v>
      </c>
      <c r="J224" s="49">
        <v>79960.05799999999</v>
      </c>
      <c r="K224" s="49">
        <v>77429.541999999987</v>
      </c>
      <c r="L224" s="49">
        <v>80452.606</v>
      </c>
      <c r="M224" s="49">
        <v>61868.472999999998</v>
      </c>
      <c r="N224" s="49">
        <v>81530.162000000011</v>
      </c>
      <c r="O224" s="49">
        <f t="shared" si="135"/>
        <v>74617.080333333332</v>
      </c>
      <c r="P224" s="49">
        <f t="shared" ref="P224:AA224" si="141">+O224</f>
        <v>74617.080333333332</v>
      </c>
      <c r="Q224" s="49">
        <f t="shared" si="141"/>
        <v>74617.080333333332</v>
      </c>
      <c r="R224" s="49">
        <f t="shared" si="141"/>
        <v>74617.080333333332</v>
      </c>
      <c r="S224" s="49">
        <f t="shared" si="141"/>
        <v>74617.080333333332</v>
      </c>
      <c r="T224" s="49">
        <f t="shared" si="141"/>
        <v>74617.080333333332</v>
      </c>
      <c r="U224" s="49">
        <f t="shared" si="141"/>
        <v>74617.080333333332</v>
      </c>
      <c r="V224" s="49">
        <f t="shared" si="141"/>
        <v>74617.080333333332</v>
      </c>
      <c r="W224" s="49">
        <f t="shared" si="141"/>
        <v>74617.080333333332</v>
      </c>
      <c r="X224" s="49">
        <f t="shared" si="141"/>
        <v>74617.080333333332</v>
      </c>
      <c r="Y224" s="49">
        <f t="shared" si="141"/>
        <v>74617.080333333332</v>
      </c>
      <c r="Z224" s="49">
        <f t="shared" si="141"/>
        <v>74617.080333333332</v>
      </c>
      <c r="AA224" s="49">
        <f t="shared" si="141"/>
        <v>74617.080333333332</v>
      </c>
    </row>
    <row r="225" spans="2:27" x14ac:dyDescent="0.3">
      <c r="B225" s="57" t="s">
        <v>35</v>
      </c>
      <c r="C225" s="57"/>
      <c r="D225" s="57"/>
      <c r="E225" s="57"/>
      <c r="F225" s="57"/>
      <c r="G225" s="78"/>
      <c r="H225" s="78"/>
      <c r="I225" s="78"/>
      <c r="J225" s="78"/>
      <c r="K225" s="78"/>
      <c r="L225" s="78"/>
      <c r="M225" s="78"/>
      <c r="N225" s="78"/>
      <c r="O225" s="78"/>
      <c r="P225" s="78"/>
      <c r="Q225" s="78"/>
      <c r="R225" s="78"/>
      <c r="S225" s="78"/>
      <c r="T225" s="78"/>
      <c r="U225" s="78"/>
      <c r="V225" s="78"/>
      <c r="W225" s="78"/>
      <c r="X225" s="78"/>
      <c r="Y225" s="78"/>
      <c r="Z225" s="78"/>
      <c r="AA225" s="78"/>
    </row>
    <row r="226" spans="2:27" x14ac:dyDescent="0.3">
      <c r="B226" s="47" t="s">
        <v>158</v>
      </c>
      <c r="C226" s="47"/>
      <c r="D226" s="47"/>
      <c r="E226" s="47"/>
      <c r="F226" s="47"/>
      <c r="G226" s="49">
        <v>95760.286999999982</v>
      </c>
      <c r="H226" s="49">
        <v>95144.05</v>
      </c>
      <c r="I226" s="49">
        <v>95119.72</v>
      </c>
      <c r="J226" s="49">
        <v>105447.58899999999</v>
      </c>
      <c r="K226" s="49">
        <v>99009.819000000003</v>
      </c>
      <c r="L226" s="49">
        <v>86632.661000000007</v>
      </c>
      <c r="M226" s="49">
        <v>79958.990999999995</v>
      </c>
      <c r="N226" s="49">
        <v>91011.156999999992</v>
      </c>
      <c r="O226" s="49">
        <f t="shared" si="135"/>
        <v>85867.603000000003</v>
      </c>
      <c r="P226" s="49">
        <f>+O226</f>
        <v>85867.603000000003</v>
      </c>
      <c r="Q226" s="49">
        <f t="shared" ref="Q226:AA233" si="142">+P226</f>
        <v>85867.603000000003</v>
      </c>
      <c r="R226" s="49">
        <f t="shared" si="142"/>
        <v>85867.603000000003</v>
      </c>
      <c r="S226" s="49">
        <f t="shared" si="142"/>
        <v>85867.603000000003</v>
      </c>
      <c r="T226" s="49">
        <f t="shared" si="142"/>
        <v>85867.603000000003</v>
      </c>
      <c r="U226" s="49">
        <f t="shared" si="142"/>
        <v>85867.603000000003</v>
      </c>
      <c r="V226" s="49">
        <f t="shared" si="142"/>
        <v>85867.603000000003</v>
      </c>
      <c r="W226" s="49">
        <f t="shared" si="142"/>
        <v>85867.603000000003</v>
      </c>
      <c r="X226" s="49">
        <f t="shared" si="142"/>
        <v>85867.603000000003</v>
      </c>
      <c r="Y226" s="49">
        <f t="shared" si="142"/>
        <v>85867.603000000003</v>
      </c>
      <c r="Z226" s="49">
        <f t="shared" si="142"/>
        <v>85867.603000000003</v>
      </c>
      <c r="AA226" s="49">
        <f t="shared" si="142"/>
        <v>85867.603000000003</v>
      </c>
    </row>
    <row r="227" spans="2:27" x14ac:dyDescent="0.3">
      <c r="B227" s="47" t="s">
        <v>159</v>
      </c>
      <c r="C227" s="47"/>
      <c r="D227" s="47"/>
      <c r="E227" s="47"/>
      <c r="F227" s="47"/>
      <c r="G227" s="49">
        <v>93799.604999999996</v>
      </c>
      <c r="H227" s="49">
        <v>98539.03</v>
      </c>
      <c r="I227" s="49">
        <v>94138.09</v>
      </c>
      <c r="J227" s="49">
        <v>99492.22</v>
      </c>
      <c r="K227" s="49">
        <v>99241.433000000005</v>
      </c>
      <c r="L227" s="49">
        <v>93811.007999999987</v>
      </c>
      <c r="M227" s="49">
        <v>82387.252999999997</v>
      </c>
      <c r="N227" s="49">
        <v>99447.379000000015</v>
      </c>
      <c r="O227" s="49">
        <f t="shared" si="135"/>
        <v>91881.88</v>
      </c>
      <c r="P227" s="49">
        <f>+O227</f>
        <v>91881.88</v>
      </c>
      <c r="Q227" s="49">
        <f t="shared" si="142"/>
        <v>91881.88</v>
      </c>
      <c r="R227" s="49">
        <f t="shared" si="142"/>
        <v>91881.88</v>
      </c>
      <c r="S227" s="49">
        <f t="shared" si="142"/>
        <v>91881.88</v>
      </c>
      <c r="T227" s="49">
        <f t="shared" si="142"/>
        <v>91881.88</v>
      </c>
      <c r="U227" s="49">
        <f t="shared" si="142"/>
        <v>91881.88</v>
      </c>
      <c r="V227" s="49">
        <f t="shared" si="142"/>
        <v>91881.88</v>
      </c>
      <c r="W227" s="49">
        <f t="shared" si="142"/>
        <v>91881.88</v>
      </c>
      <c r="X227" s="49">
        <f t="shared" si="142"/>
        <v>91881.88</v>
      </c>
      <c r="Y227" s="49">
        <f t="shared" si="142"/>
        <v>91881.88</v>
      </c>
      <c r="Z227" s="49">
        <f t="shared" si="142"/>
        <v>91881.88</v>
      </c>
      <c r="AA227" s="49">
        <f t="shared" si="142"/>
        <v>91881.88</v>
      </c>
    </row>
    <row r="228" spans="2:27" x14ac:dyDescent="0.3">
      <c r="B228" s="57" t="s">
        <v>4</v>
      </c>
      <c r="C228" s="57"/>
      <c r="D228" s="57"/>
      <c r="E228" s="57"/>
      <c r="F228" s="57"/>
      <c r="G228" s="78"/>
      <c r="H228" s="78"/>
      <c r="I228" s="78"/>
      <c r="J228" s="78"/>
      <c r="K228" s="78"/>
      <c r="L228" s="78"/>
      <c r="M228" s="78"/>
      <c r="N228" s="78"/>
      <c r="O228" s="78"/>
      <c r="P228" s="78"/>
      <c r="Q228" s="78"/>
      <c r="R228" s="78"/>
      <c r="S228" s="78"/>
      <c r="T228" s="78"/>
      <c r="U228" s="78"/>
      <c r="V228" s="78"/>
      <c r="W228" s="78"/>
      <c r="X228" s="78"/>
      <c r="Y228" s="78"/>
      <c r="Z228" s="78"/>
      <c r="AA228" s="78"/>
    </row>
    <row r="229" spans="2:27" x14ac:dyDescent="0.3">
      <c r="B229" s="47" t="s">
        <v>151</v>
      </c>
      <c r="C229" s="47"/>
      <c r="D229" s="47"/>
      <c r="E229" s="47"/>
      <c r="F229" s="47"/>
      <c r="G229" s="49">
        <v>14119.3</v>
      </c>
      <c r="H229" s="49">
        <v>19288.97</v>
      </c>
      <c r="I229" s="49">
        <v>20815.78</v>
      </c>
      <c r="J229" s="49">
        <v>16358.64</v>
      </c>
      <c r="K229" s="49">
        <v>19804.840000000004</v>
      </c>
      <c r="L229" s="49">
        <v>17612.39</v>
      </c>
      <c r="M229" s="49">
        <v>12031.66</v>
      </c>
      <c r="N229" s="49">
        <v>10963.130000000001</v>
      </c>
      <c r="O229" s="49">
        <f t="shared" ref="O229" si="143">+AVERAGE(L229:N229)</f>
        <v>13535.726666666667</v>
      </c>
      <c r="P229" s="49">
        <f>+O229</f>
        <v>13535.726666666667</v>
      </c>
      <c r="Q229" s="49">
        <f t="shared" si="142"/>
        <v>13535.726666666667</v>
      </c>
      <c r="R229" s="49">
        <f t="shared" si="142"/>
        <v>13535.726666666667</v>
      </c>
      <c r="S229" s="49">
        <f t="shared" si="142"/>
        <v>13535.726666666667</v>
      </c>
      <c r="T229" s="49">
        <f t="shared" si="142"/>
        <v>13535.726666666667</v>
      </c>
      <c r="U229" s="49">
        <f t="shared" si="142"/>
        <v>13535.726666666667</v>
      </c>
      <c r="V229" s="49">
        <f t="shared" si="142"/>
        <v>13535.726666666667</v>
      </c>
      <c r="W229" s="49">
        <f t="shared" si="142"/>
        <v>13535.726666666667</v>
      </c>
      <c r="X229" s="49">
        <f t="shared" si="142"/>
        <v>13535.726666666667</v>
      </c>
      <c r="Y229" s="49">
        <f t="shared" si="142"/>
        <v>13535.726666666667</v>
      </c>
      <c r="Z229" s="49">
        <f t="shared" si="142"/>
        <v>13535.726666666667</v>
      </c>
      <c r="AA229" s="49">
        <f t="shared" si="142"/>
        <v>13535.726666666667</v>
      </c>
    </row>
    <row r="230" spans="2:27" x14ac:dyDescent="0.3">
      <c r="B230" s="57" t="s">
        <v>36</v>
      </c>
      <c r="C230" s="57"/>
      <c r="D230" s="57"/>
      <c r="E230" s="57"/>
      <c r="F230" s="57"/>
      <c r="G230" s="78"/>
      <c r="H230" s="78"/>
      <c r="I230" s="78"/>
      <c r="J230" s="78"/>
      <c r="K230" s="78"/>
      <c r="L230" s="78"/>
      <c r="M230" s="78"/>
      <c r="N230" s="78"/>
      <c r="O230" s="78"/>
      <c r="P230" s="78"/>
      <c r="Q230" s="78"/>
      <c r="R230" s="78"/>
      <c r="S230" s="78"/>
      <c r="T230" s="78"/>
      <c r="U230" s="78"/>
      <c r="V230" s="78"/>
      <c r="W230" s="78"/>
      <c r="X230" s="78"/>
      <c r="Y230" s="78"/>
      <c r="Z230" s="78"/>
      <c r="AA230" s="78"/>
    </row>
    <row r="231" spans="2:27" x14ac:dyDescent="0.3">
      <c r="B231" s="47" t="s">
        <v>152</v>
      </c>
      <c r="C231" s="47"/>
      <c r="D231" s="47"/>
      <c r="E231" s="47"/>
      <c r="F231" s="47"/>
      <c r="G231" s="49">
        <v>40270.455000000002</v>
      </c>
      <c r="H231" s="49">
        <v>38528.400999999998</v>
      </c>
      <c r="I231" s="49">
        <v>41587.581999999995</v>
      </c>
      <c r="J231" s="49">
        <v>42148.481999999996</v>
      </c>
      <c r="K231" s="49">
        <v>45154.620999999999</v>
      </c>
      <c r="L231" s="49">
        <v>41357.006000000001</v>
      </c>
      <c r="M231" s="49">
        <v>32860.883000000002</v>
      </c>
      <c r="N231" s="49">
        <v>31306.786999999997</v>
      </c>
      <c r="O231" s="49">
        <f t="shared" ref="O231" si="144">+AVERAGE(L231:N231)</f>
        <v>35174.892</v>
      </c>
      <c r="P231" s="49">
        <f>+O231</f>
        <v>35174.892</v>
      </c>
      <c r="Q231" s="49">
        <f t="shared" si="142"/>
        <v>35174.892</v>
      </c>
      <c r="R231" s="49">
        <f t="shared" si="142"/>
        <v>35174.892</v>
      </c>
      <c r="S231" s="49">
        <f t="shared" si="142"/>
        <v>35174.892</v>
      </c>
      <c r="T231" s="49">
        <f t="shared" si="142"/>
        <v>35174.892</v>
      </c>
      <c r="U231" s="49">
        <f t="shared" si="142"/>
        <v>35174.892</v>
      </c>
      <c r="V231" s="49">
        <f t="shared" si="142"/>
        <v>35174.892</v>
      </c>
      <c r="W231" s="49">
        <f t="shared" si="142"/>
        <v>35174.892</v>
      </c>
      <c r="X231" s="49">
        <f t="shared" si="142"/>
        <v>35174.892</v>
      </c>
      <c r="Y231" s="49">
        <f t="shared" si="142"/>
        <v>35174.892</v>
      </c>
      <c r="Z231" s="49">
        <f t="shared" si="142"/>
        <v>35174.892</v>
      </c>
      <c r="AA231" s="49">
        <f t="shared" si="142"/>
        <v>35174.892</v>
      </c>
    </row>
    <row r="232" spans="2:27" x14ac:dyDescent="0.3">
      <c r="B232" s="57" t="s">
        <v>37</v>
      </c>
      <c r="C232" s="57"/>
      <c r="D232" s="57"/>
      <c r="E232" s="57"/>
      <c r="F232" s="57"/>
      <c r="G232" s="78"/>
      <c r="H232" s="78"/>
      <c r="I232" s="78"/>
      <c r="J232" s="78"/>
      <c r="K232" s="78"/>
      <c r="L232" s="78"/>
      <c r="M232" s="78"/>
      <c r="N232" s="78"/>
      <c r="O232" s="78"/>
      <c r="P232" s="78"/>
      <c r="Q232" s="78"/>
      <c r="R232" s="78"/>
      <c r="S232" s="78"/>
      <c r="T232" s="78"/>
      <c r="U232" s="78"/>
      <c r="V232" s="78"/>
      <c r="W232" s="78"/>
      <c r="X232" s="78"/>
      <c r="Y232" s="78"/>
      <c r="Z232" s="78"/>
      <c r="AA232" s="78"/>
    </row>
    <row r="233" spans="2:27" x14ac:dyDescent="0.3">
      <c r="B233" s="47" t="s">
        <v>153</v>
      </c>
      <c r="C233" s="47"/>
      <c r="D233" s="47"/>
      <c r="E233" s="47"/>
      <c r="F233" s="47"/>
      <c r="G233" s="49">
        <v>14596.415000000001</v>
      </c>
      <c r="H233" s="49">
        <v>17363.156999999999</v>
      </c>
      <c r="I233" s="49">
        <v>17535.357</v>
      </c>
      <c r="J233" s="49">
        <v>18995.719000000001</v>
      </c>
      <c r="K233" s="49">
        <v>22123.662000000004</v>
      </c>
      <c r="L233" s="49">
        <v>18022.292999999998</v>
      </c>
      <c r="M233" s="49">
        <v>14087.349</v>
      </c>
      <c r="N233" s="49">
        <v>14473.441999999999</v>
      </c>
      <c r="O233" s="49">
        <f t="shared" ref="O233" si="145">+AVERAGE(L233:N233)</f>
        <v>15527.694666666668</v>
      </c>
      <c r="P233" s="49">
        <f>+O233</f>
        <v>15527.694666666668</v>
      </c>
      <c r="Q233" s="49">
        <f t="shared" si="142"/>
        <v>15527.694666666668</v>
      </c>
      <c r="R233" s="49">
        <f t="shared" si="142"/>
        <v>15527.694666666668</v>
      </c>
      <c r="S233" s="49">
        <f t="shared" si="142"/>
        <v>15527.694666666668</v>
      </c>
      <c r="T233" s="49">
        <f t="shared" si="142"/>
        <v>15527.694666666668</v>
      </c>
      <c r="U233" s="49">
        <f t="shared" si="142"/>
        <v>15527.694666666668</v>
      </c>
      <c r="V233" s="49">
        <f t="shared" si="142"/>
        <v>15527.694666666668</v>
      </c>
      <c r="W233" s="49">
        <f t="shared" si="142"/>
        <v>15527.694666666668</v>
      </c>
      <c r="X233" s="49">
        <f t="shared" si="142"/>
        <v>15527.694666666668</v>
      </c>
      <c r="Y233" s="49">
        <f t="shared" si="142"/>
        <v>15527.694666666668</v>
      </c>
      <c r="Z233" s="49">
        <f t="shared" si="142"/>
        <v>15527.694666666668</v>
      </c>
      <c r="AA233" s="49">
        <f t="shared" si="142"/>
        <v>15527.694666666668</v>
      </c>
    </row>
    <row r="234" spans="2:27" x14ac:dyDescent="0.3">
      <c r="B234" s="57" t="s">
        <v>38</v>
      </c>
      <c r="C234" s="57"/>
      <c r="D234" s="57"/>
      <c r="E234" s="57"/>
      <c r="F234" s="57"/>
      <c r="G234" s="78"/>
      <c r="H234" s="78"/>
      <c r="I234" s="78"/>
      <c r="J234" s="78"/>
      <c r="K234" s="78"/>
      <c r="L234" s="78"/>
      <c r="M234" s="78"/>
      <c r="N234" s="78"/>
      <c r="O234" s="78"/>
      <c r="P234" s="78"/>
      <c r="Q234" s="78"/>
      <c r="R234" s="78"/>
      <c r="S234" s="78"/>
      <c r="T234" s="78"/>
      <c r="U234" s="78"/>
      <c r="V234" s="78"/>
      <c r="W234" s="78"/>
      <c r="X234" s="78"/>
      <c r="Y234" s="78"/>
      <c r="Z234" s="78"/>
      <c r="AA234" s="78"/>
    </row>
    <row r="235" spans="2:27" x14ac:dyDescent="0.3">
      <c r="B235" s="47" t="s">
        <v>140</v>
      </c>
      <c r="C235" s="395"/>
      <c r="D235" s="395"/>
      <c r="E235" s="47"/>
      <c r="F235" s="47"/>
      <c r="G235" s="49">
        <v>4114</v>
      </c>
      <c r="H235" s="49">
        <v>4554.1049999999996</v>
      </c>
      <c r="I235" s="49">
        <v>4812.643</v>
      </c>
      <c r="J235" s="49">
        <v>4552.4240000000009</v>
      </c>
      <c r="K235" s="49">
        <v>4384.4089999999997</v>
      </c>
      <c r="L235" s="49">
        <v>4376.9049999999997</v>
      </c>
      <c r="M235" s="49">
        <v>3466.1080000000002</v>
      </c>
      <c r="N235" s="49">
        <v>4191.5759999999991</v>
      </c>
      <c r="O235" s="49">
        <f t="shared" ref="O235:O236" si="146">+AVERAGE(L235:N235)</f>
        <v>4011.5296666666668</v>
      </c>
      <c r="P235" s="49">
        <f t="shared" ref="P235:AA235" si="147">+O235</f>
        <v>4011.5296666666668</v>
      </c>
      <c r="Q235" s="49">
        <f t="shared" si="147"/>
        <v>4011.5296666666668</v>
      </c>
      <c r="R235" s="49">
        <f t="shared" si="147"/>
        <v>4011.5296666666668</v>
      </c>
      <c r="S235" s="49">
        <f t="shared" si="147"/>
        <v>4011.5296666666668</v>
      </c>
      <c r="T235" s="49">
        <f t="shared" si="147"/>
        <v>4011.5296666666668</v>
      </c>
      <c r="U235" s="49">
        <f t="shared" si="147"/>
        <v>4011.5296666666668</v>
      </c>
      <c r="V235" s="49">
        <f t="shared" si="147"/>
        <v>4011.5296666666668</v>
      </c>
      <c r="W235" s="49">
        <f t="shared" si="147"/>
        <v>4011.5296666666668</v>
      </c>
      <c r="X235" s="49">
        <f t="shared" si="147"/>
        <v>4011.5296666666668</v>
      </c>
      <c r="Y235" s="49">
        <f t="shared" si="147"/>
        <v>4011.5296666666668</v>
      </c>
      <c r="Z235" s="49">
        <f t="shared" si="147"/>
        <v>4011.5296666666668</v>
      </c>
      <c r="AA235" s="49">
        <f t="shared" si="147"/>
        <v>4011.5296666666668</v>
      </c>
    </row>
    <row r="236" spans="2:27" x14ac:dyDescent="0.3">
      <c r="B236" s="47" t="s">
        <v>141</v>
      </c>
      <c r="C236" s="47"/>
      <c r="D236" s="47"/>
      <c r="E236" s="47"/>
      <c r="F236" s="47"/>
      <c r="G236" s="49">
        <v>4195</v>
      </c>
      <c r="H236" s="49">
        <v>4563.4110000000001</v>
      </c>
      <c r="I236" s="49">
        <v>4781.6249999999973</v>
      </c>
      <c r="J236" s="49">
        <v>4698.2270000000008</v>
      </c>
      <c r="K236" s="49">
        <v>4197.7930000000006</v>
      </c>
      <c r="L236" s="49">
        <v>4145.2669999999998</v>
      </c>
      <c r="M236" s="49">
        <v>3329.4500000000003</v>
      </c>
      <c r="N236" s="49">
        <v>4038.616</v>
      </c>
      <c r="O236" s="49">
        <f t="shared" si="146"/>
        <v>3837.7776666666668</v>
      </c>
      <c r="P236" s="49">
        <f t="shared" ref="P236:AA236" si="148">+O236</f>
        <v>3837.7776666666668</v>
      </c>
      <c r="Q236" s="49">
        <f t="shared" si="148"/>
        <v>3837.7776666666668</v>
      </c>
      <c r="R236" s="49">
        <f t="shared" si="148"/>
        <v>3837.7776666666668</v>
      </c>
      <c r="S236" s="49">
        <f t="shared" si="148"/>
        <v>3837.7776666666668</v>
      </c>
      <c r="T236" s="49">
        <f t="shared" si="148"/>
        <v>3837.7776666666668</v>
      </c>
      <c r="U236" s="49">
        <f t="shared" si="148"/>
        <v>3837.7776666666668</v>
      </c>
      <c r="V236" s="49">
        <f t="shared" si="148"/>
        <v>3837.7776666666668</v>
      </c>
      <c r="W236" s="49">
        <f t="shared" si="148"/>
        <v>3837.7776666666668</v>
      </c>
      <c r="X236" s="49">
        <f t="shared" si="148"/>
        <v>3837.7776666666668</v>
      </c>
      <c r="Y236" s="49">
        <f t="shared" si="148"/>
        <v>3837.7776666666668</v>
      </c>
      <c r="Z236" s="49">
        <f t="shared" si="148"/>
        <v>3837.7776666666668</v>
      </c>
      <c r="AA236" s="49">
        <f t="shared" si="148"/>
        <v>3837.7776666666668</v>
      </c>
    </row>
    <row r="237" spans="2:27" x14ac:dyDescent="0.3">
      <c r="B237" s="57" t="s">
        <v>7</v>
      </c>
      <c r="C237" s="57"/>
      <c r="D237" s="57"/>
      <c r="E237" s="57"/>
      <c r="F237" s="57"/>
      <c r="G237" s="78"/>
      <c r="H237" s="78"/>
      <c r="I237" s="78"/>
      <c r="J237" s="78"/>
      <c r="K237" s="78"/>
      <c r="L237" s="78"/>
      <c r="M237" s="78"/>
      <c r="N237" s="78"/>
      <c r="O237" s="78"/>
      <c r="P237" s="78"/>
      <c r="Q237" s="78"/>
      <c r="R237" s="78"/>
      <c r="S237" s="78"/>
      <c r="T237" s="78"/>
      <c r="U237" s="78"/>
      <c r="V237" s="78"/>
      <c r="W237" s="78"/>
      <c r="X237" s="78"/>
      <c r="Y237" s="78"/>
      <c r="Z237" s="78"/>
      <c r="AA237" s="78"/>
    </row>
    <row r="238" spans="2:27" x14ac:dyDescent="0.3">
      <c r="B238" s="47" t="s">
        <v>342</v>
      </c>
      <c r="C238" s="47">
        <v>2017</v>
      </c>
      <c r="D238" s="47">
        <v>120</v>
      </c>
      <c r="E238" s="110">
        <v>0.5</v>
      </c>
      <c r="F238" s="47"/>
      <c r="G238" s="49"/>
      <c r="H238" s="49"/>
      <c r="I238" s="49"/>
      <c r="J238" s="49"/>
      <c r="K238" s="49"/>
      <c r="L238" s="49"/>
      <c r="M238" s="49"/>
      <c r="N238" s="49">
        <v>11172.225999999999</v>
      </c>
      <c r="O238" s="49">
        <f>+$D$238*8760*E238</f>
        <v>525600</v>
      </c>
      <c r="P238" s="49">
        <f>+O238</f>
        <v>525600</v>
      </c>
      <c r="Q238" s="49">
        <f t="shared" ref="Q238:AA238" si="149">+P238</f>
        <v>525600</v>
      </c>
      <c r="R238" s="49">
        <f t="shared" si="149"/>
        <v>525600</v>
      </c>
      <c r="S238" s="49">
        <f t="shared" si="149"/>
        <v>525600</v>
      </c>
      <c r="T238" s="49">
        <f t="shared" si="149"/>
        <v>525600</v>
      </c>
      <c r="U238" s="49">
        <f t="shared" si="149"/>
        <v>525600</v>
      </c>
      <c r="V238" s="49">
        <f t="shared" si="149"/>
        <v>525600</v>
      </c>
      <c r="W238" s="49">
        <f t="shared" si="149"/>
        <v>525600</v>
      </c>
      <c r="X238" s="49">
        <f t="shared" si="149"/>
        <v>525600</v>
      </c>
      <c r="Y238" s="49">
        <f t="shared" si="149"/>
        <v>525600</v>
      </c>
      <c r="Z238" s="49">
        <f t="shared" si="149"/>
        <v>525600</v>
      </c>
      <c r="AA238" s="49">
        <f t="shared" si="149"/>
        <v>525600</v>
      </c>
    </row>
    <row r="239" spans="2:27" x14ac:dyDescent="0.3">
      <c r="B239" s="57" t="s">
        <v>39</v>
      </c>
      <c r="C239" s="57"/>
      <c r="D239" s="57"/>
      <c r="E239" s="57"/>
      <c r="F239" s="57"/>
      <c r="G239" s="78"/>
      <c r="H239" s="78"/>
      <c r="I239" s="78"/>
      <c r="J239" s="78"/>
      <c r="K239" s="78"/>
      <c r="L239" s="78"/>
      <c r="M239" s="78"/>
      <c r="N239" s="78"/>
      <c r="O239" s="78"/>
      <c r="P239" s="78"/>
      <c r="Q239" s="78"/>
      <c r="R239" s="78"/>
      <c r="S239" s="78"/>
      <c r="T239" s="78"/>
      <c r="U239" s="78"/>
      <c r="V239" s="78"/>
      <c r="W239" s="78"/>
      <c r="X239" s="78"/>
      <c r="Y239" s="78"/>
      <c r="Z239" s="78"/>
      <c r="AA239" s="78"/>
    </row>
    <row r="240" spans="2:27" x14ac:dyDescent="0.3">
      <c r="B240" s="47" t="s">
        <v>154</v>
      </c>
      <c r="C240" s="47"/>
      <c r="D240" s="47"/>
      <c r="E240" s="47"/>
      <c r="F240" s="47"/>
      <c r="G240" s="49">
        <v>16964.522000000001</v>
      </c>
      <c r="H240" s="49">
        <v>17331.444</v>
      </c>
      <c r="I240" s="49">
        <v>18585.001000000004</v>
      </c>
      <c r="J240" s="49">
        <v>16688.195999999996</v>
      </c>
      <c r="K240" s="49">
        <v>17786.664000000001</v>
      </c>
      <c r="L240" s="49">
        <v>18207.585999999999</v>
      </c>
      <c r="M240" s="49">
        <v>16078.901000000002</v>
      </c>
      <c r="N240" s="49">
        <v>15005.555</v>
      </c>
      <c r="O240" s="49">
        <f t="shared" ref="O240" si="150">+AVERAGE(L240:N240)</f>
        <v>16430.680666666667</v>
      </c>
      <c r="P240" s="49">
        <f>+O240</f>
        <v>16430.680666666667</v>
      </c>
      <c r="Q240" s="49">
        <f t="shared" ref="Q240:AA240" si="151">+P240</f>
        <v>16430.680666666667</v>
      </c>
      <c r="R240" s="49">
        <f t="shared" si="151"/>
        <v>16430.680666666667</v>
      </c>
      <c r="S240" s="49">
        <f t="shared" si="151"/>
        <v>16430.680666666667</v>
      </c>
      <c r="T240" s="49">
        <f t="shared" si="151"/>
        <v>16430.680666666667</v>
      </c>
      <c r="U240" s="49">
        <f t="shared" si="151"/>
        <v>16430.680666666667</v>
      </c>
      <c r="V240" s="49">
        <f t="shared" si="151"/>
        <v>16430.680666666667</v>
      </c>
      <c r="W240" s="49">
        <f t="shared" si="151"/>
        <v>16430.680666666667</v>
      </c>
      <c r="X240" s="49">
        <f t="shared" si="151"/>
        <v>16430.680666666667</v>
      </c>
      <c r="Y240" s="49">
        <f t="shared" si="151"/>
        <v>16430.680666666667</v>
      </c>
      <c r="Z240" s="49">
        <f t="shared" si="151"/>
        <v>16430.680666666667</v>
      </c>
      <c r="AA240" s="49">
        <f t="shared" si="151"/>
        <v>16430.680666666667</v>
      </c>
    </row>
    <row r="241" spans="2:27" x14ac:dyDescent="0.3">
      <c r="B241" s="57" t="s">
        <v>5</v>
      </c>
      <c r="C241" s="57"/>
      <c r="D241" s="57"/>
      <c r="E241" s="57"/>
      <c r="F241" s="57"/>
      <c r="G241" s="78"/>
      <c r="H241" s="78"/>
      <c r="I241" s="78"/>
      <c r="J241" s="78"/>
      <c r="K241" s="78"/>
      <c r="L241" s="78"/>
      <c r="M241" s="78"/>
      <c r="N241" s="78"/>
      <c r="O241" s="78"/>
      <c r="P241" s="78"/>
      <c r="Q241" s="78"/>
      <c r="R241" s="78"/>
      <c r="S241" s="78"/>
      <c r="T241" s="78"/>
      <c r="U241" s="78"/>
      <c r="V241" s="78"/>
      <c r="W241" s="78"/>
      <c r="X241" s="78"/>
      <c r="Y241" s="78"/>
      <c r="Z241" s="78"/>
      <c r="AA241" s="78"/>
    </row>
    <row r="242" spans="2:27" x14ac:dyDescent="0.3">
      <c r="B242" s="47" t="s">
        <v>338</v>
      </c>
      <c r="C242" s="395"/>
      <c r="D242" s="395"/>
      <c r="E242" s="47"/>
      <c r="F242" s="47"/>
      <c r="G242" s="49">
        <v>3310.3999999999996</v>
      </c>
      <c r="H242" s="49">
        <v>4002.56</v>
      </c>
      <c r="I242" s="49">
        <v>6492.8999999999987</v>
      </c>
      <c r="J242" s="49">
        <v>7388.4</v>
      </c>
      <c r="K242" s="49">
        <v>7175.8399999999992</v>
      </c>
      <c r="L242" s="49">
        <v>8301.2000000000007</v>
      </c>
      <c r="M242" s="49">
        <v>2307.6</v>
      </c>
      <c r="N242" s="49">
        <v>3547</v>
      </c>
      <c r="O242" s="49">
        <f t="shared" ref="O242:O243" si="152">+AVERAGE(L242:N242)</f>
        <v>4718.6000000000004</v>
      </c>
      <c r="P242" s="49">
        <f t="shared" ref="P242:AA242" si="153">+O242</f>
        <v>4718.6000000000004</v>
      </c>
      <c r="Q242" s="49">
        <f t="shared" si="153"/>
        <v>4718.6000000000004</v>
      </c>
      <c r="R242" s="49">
        <f t="shared" si="153"/>
        <v>4718.6000000000004</v>
      </c>
      <c r="S242" s="49">
        <f t="shared" si="153"/>
        <v>4718.6000000000004</v>
      </c>
      <c r="T242" s="49">
        <f t="shared" si="153"/>
        <v>4718.6000000000004</v>
      </c>
      <c r="U242" s="49">
        <f t="shared" si="153"/>
        <v>4718.6000000000004</v>
      </c>
      <c r="V242" s="49">
        <f t="shared" si="153"/>
        <v>4718.6000000000004</v>
      </c>
      <c r="W242" s="49">
        <f t="shared" si="153"/>
        <v>4718.6000000000004</v>
      </c>
      <c r="X242" s="49">
        <f t="shared" si="153"/>
        <v>4718.6000000000004</v>
      </c>
      <c r="Y242" s="49">
        <f t="shared" si="153"/>
        <v>4718.6000000000004</v>
      </c>
      <c r="Z242" s="49">
        <f t="shared" si="153"/>
        <v>4718.6000000000004</v>
      </c>
      <c r="AA242" s="49">
        <f t="shared" si="153"/>
        <v>4718.6000000000004</v>
      </c>
    </row>
    <row r="243" spans="2:27" x14ac:dyDescent="0.3">
      <c r="B243" s="47" t="s">
        <v>339</v>
      </c>
      <c r="C243" s="47"/>
      <c r="D243" s="47"/>
      <c r="E243" s="47"/>
      <c r="F243" s="47"/>
      <c r="G243" s="49"/>
      <c r="H243" s="49"/>
      <c r="I243" s="49"/>
      <c r="J243" s="49"/>
      <c r="K243" s="49"/>
      <c r="L243" s="49"/>
      <c r="M243" s="49">
        <v>2352.1</v>
      </c>
      <c r="N243" s="49">
        <v>3707.2000000000003</v>
      </c>
      <c r="O243" s="49">
        <f t="shared" si="152"/>
        <v>3029.65</v>
      </c>
      <c r="P243" s="49">
        <f t="shared" ref="P243:AA243" si="154">+O243</f>
        <v>3029.65</v>
      </c>
      <c r="Q243" s="49">
        <f t="shared" si="154"/>
        <v>3029.65</v>
      </c>
      <c r="R243" s="49">
        <f t="shared" si="154"/>
        <v>3029.65</v>
      </c>
      <c r="S243" s="49">
        <f t="shared" si="154"/>
        <v>3029.65</v>
      </c>
      <c r="T243" s="49">
        <f t="shared" si="154"/>
        <v>3029.65</v>
      </c>
      <c r="U243" s="49">
        <f t="shared" si="154"/>
        <v>3029.65</v>
      </c>
      <c r="V243" s="49">
        <f t="shared" si="154"/>
        <v>3029.65</v>
      </c>
      <c r="W243" s="49">
        <f t="shared" si="154"/>
        <v>3029.65</v>
      </c>
      <c r="X243" s="49">
        <f t="shared" si="154"/>
        <v>3029.65</v>
      </c>
      <c r="Y243" s="49">
        <f t="shared" si="154"/>
        <v>3029.65</v>
      </c>
      <c r="Z243" s="49">
        <f t="shared" si="154"/>
        <v>3029.65</v>
      </c>
      <c r="AA243" s="49">
        <f t="shared" si="154"/>
        <v>3029.65</v>
      </c>
    </row>
    <row r="244" spans="2:27" x14ac:dyDescent="0.3">
      <c r="B244" s="57" t="s">
        <v>40</v>
      </c>
      <c r="C244" s="57"/>
      <c r="D244" s="57"/>
      <c r="E244" s="57"/>
      <c r="F244" s="57"/>
      <c r="G244" s="78"/>
      <c r="H244" s="78"/>
      <c r="I244" s="78"/>
      <c r="J244" s="78"/>
      <c r="K244" s="78"/>
      <c r="L244" s="78"/>
      <c r="M244" s="78"/>
      <c r="N244" s="78"/>
      <c r="O244" s="78"/>
      <c r="P244" s="78"/>
      <c r="Q244" s="78"/>
      <c r="R244" s="78"/>
      <c r="S244" s="78"/>
      <c r="T244" s="78"/>
      <c r="U244" s="78"/>
      <c r="V244" s="78"/>
      <c r="W244" s="78"/>
      <c r="X244" s="78"/>
      <c r="Y244" s="78"/>
      <c r="Z244" s="78"/>
      <c r="AA244" s="78"/>
    </row>
    <row r="245" spans="2:27" x14ac:dyDescent="0.3">
      <c r="B245" s="47" t="s">
        <v>135</v>
      </c>
      <c r="C245" s="47"/>
      <c r="D245" s="47"/>
      <c r="E245" s="47"/>
      <c r="F245" s="47"/>
      <c r="G245" s="49">
        <v>66898.476999999999</v>
      </c>
      <c r="H245" s="49">
        <v>71701.509999999995</v>
      </c>
      <c r="I245" s="49">
        <v>68123.947000000015</v>
      </c>
      <c r="J245" s="49">
        <v>70554.083999999988</v>
      </c>
      <c r="K245" s="49">
        <v>15429.729000000001</v>
      </c>
      <c r="L245" s="49">
        <v>23543.032999999996</v>
      </c>
      <c r="M245" s="49">
        <v>53982.859000000004</v>
      </c>
      <c r="N245" s="49">
        <v>69211.264999999999</v>
      </c>
      <c r="O245" s="49">
        <f t="shared" ref="O245" si="155">+AVERAGE(L245:N245)</f>
        <v>48912.385666666669</v>
      </c>
      <c r="P245" s="49">
        <f>+O245</f>
        <v>48912.385666666669</v>
      </c>
      <c r="Q245" s="49">
        <f t="shared" ref="Q245:AA245" si="156">+P245</f>
        <v>48912.385666666669</v>
      </c>
      <c r="R245" s="49">
        <f t="shared" si="156"/>
        <v>48912.385666666669</v>
      </c>
      <c r="S245" s="49">
        <f t="shared" si="156"/>
        <v>48912.385666666669</v>
      </c>
      <c r="T245" s="49">
        <f t="shared" si="156"/>
        <v>48912.385666666669</v>
      </c>
      <c r="U245" s="49">
        <f t="shared" si="156"/>
        <v>48912.385666666669</v>
      </c>
      <c r="V245" s="49">
        <f t="shared" si="156"/>
        <v>48912.385666666669</v>
      </c>
      <c r="W245" s="49">
        <f t="shared" si="156"/>
        <v>48912.385666666669</v>
      </c>
      <c r="X245" s="49">
        <f t="shared" si="156"/>
        <v>48912.385666666669</v>
      </c>
      <c r="Y245" s="49">
        <f t="shared" si="156"/>
        <v>48912.385666666669</v>
      </c>
      <c r="Z245" s="49">
        <f t="shared" si="156"/>
        <v>48912.385666666669</v>
      </c>
      <c r="AA245" s="49">
        <f t="shared" si="156"/>
        <v>48912.385666666669</v>
      </c>
    </row>
    <row r="246" spans="2:27" x14ac:dyDescent="0.3">
      <c r="B246" s="57" t="s">
        <v>6</v>
      </c>
      <c r="C246" s="57"/>
      <c r="D246" s="57"/>
      <c r="E246" s="57"/>
      <c r="F246" s="57"/>
      <c r="G246" s="78"/>
      <c r="H246" s="78"/>
      <c r="I246" s="78"/>
      <c r="J246" s="78"/>
      <c r="K246" s="78"/>
      <c r="L246" s="78"/>
      <c r="M246" s="78"/>
      <c r="N246" s="78"/>
      <c r="O246" s="78"/>
      <c r="P246" s="78"/>
      <c r="Q246" s="78"/>
      <c r="R246" s="78"/>
      <c r="S246" s="78"/>
      <c r="T246" s="78"/>
      <c r="U246" s="78"/>
      <c r="V246" s="78"/>
      <c r="W246" s="78"/>
      <c r="X246" s="78"/>
      <c r="Y246" s="78"/>
      <c r="Z246" s="78"/>
      <c r="AA246" s="78"/>
    </row>
    <row r="247" spans="2:27" x14ac:dyDescent="0.3">
      <c r="B247" s="47" t="s">
        <v>331</v>
      </c>
      <c r="C247" s="395"/>
      <c r="D247" s="395"/>
      <c r="E247" s="47"/>
      <c r="F247" s="47"/>
      <c r="G247" s="49"/>
      <c r="H247" s="49"/>
      <c r="I247" s="49"/>
      <c r="J247" s="49"/>
      <c r="K247" s="49"/>
      <c r="L247" s="49">
        <v>2118.4740000000002</v>
      </c>
      <c r="M247" s="49">
        <v>5921.3628000000017</v>
      </c>
      <c r="N247" s="49">
        <v>9940.8974000000035</v>
      </c>
      <c r="O247" s="49">
        <f t="shared" ref="O247:O248" si="157">+AVERAGE(L247:N247)</f>
        <v>5993.5780666666687</v>
      </c>
      <c r="P247" s="49">
        <f t="shared" ref="P247:AA247" si="158">+O247</f>
        <v>5993.5780666666687</v>
      </c>
      <c r="Q247" s="49">
        <f t="shared" si="158"/>
        <v>5993.5780666666687</v>
      </c>
      <c r="R247" s="49">
        <f t="shared" si="158"/>
        <v>5993.5780666666687</v>
      </c>
      <c r="S247" s="49">
        <f t="shared" si="158"/>
        <v>5993.5780666666687</v>
      </c>
      <c r="T247" s="49">
        <f t="shared" si="158"/>
        <v>5993.5780666666687</v>
      </c>
      <c r="U247" s="49">
        <f t="shared" si="158"/>
        <v>5993.5780666666687</v>
      </c>
      <c r="V247" s="49">
        <f t="shared" si="158"/>
        <v>5993.5780666666687</v>
      </c>
      <c r="W247" s="49">
        <f t="shared" si="158"/>
        <v>5993.5780666666687</v>
      </c>
      <c r="X247" s="49">
        <f t="shared" si="158"/>
        <v>5993.5780666666687</v>
      </c>
      <c r="Y247" s="49">
        <f t="shared" si="158"/>
        <v>5993.5780666666687</v>
      </c>
      <c r="Z247" s="49">
        <f t="shared" si="158"/>
        <v>5993.5780666666687</v>
      </c>
      <c r="AA247" s="49">
        <f t="shared" si="158"/>
        <v>5993.5780666666687</v>
      </c>
    </row>
    <row r="248" spans="2:27" x14ac:dyDescent="0.3">
      <c r="B248" s="47" t="s">
        <v>332</v>
      </c>
      <c r="C248" s="47"/>
      <c r="D248" s="47"/>
      <c r="E248" s="47"/>
      <c r="F248" s="47"/>
      <c r="G248" s="49"/>
      <c r="H248" s="49"/>
      <c r="I248" s="49"/>
      <c r="J248" s="49"/>
      <c r="K248" s="49"/>
      <c r="L248" s="49">
        <v>1880.5391999999999</v>
      </c>
      <c r="M248" s="49">
        <v>6106.0889999999999</v>
      </c>
      <c r="N248" s="49">
        <v>10262.133000000002</v>
      </c>
      <c r="O248" s="49">
        <f t="shared" si="157"/>
        <v>6082.9204</v>
      </c>
      <c r="P248" s="49">
        <f t="shared" ref="P248:AA248" si="159">+O248</f>
        <v>6082.9204</v>
      </c>
      <c r="Q248" s="49">
        <f t="shared" si="159"/>
        <v>6082.9204</v>
      </c>
      <c r="R248" s="49">
        <f t="shared" si="159"/>
        <v>6082.9204</v>
      </c>
      <c r="S248" s="49">
        <f t="shared" si="159"/>
        <v>6082.9204</v>
      </c>
      <c r="T248" s="49">
        <f t="shared" si="159"/>
        <v>6082.9204</v>
      </c>
      <c r="U248" s="49">
        <f t="shared" si="159"/>
        <v>6082.9204</v>
      </c>
      <c r="V248" s="49">
        <f t="shared" si="159"/>
        <v>6082.9204</v>
      </c>
      <c r="W248" s="49">
        <f t="shared" si="159"/>
        <v>6082.9204</v>
      </c>
      <c r="X248" s="49">
        <f t="shared" si="159"/>
        <v>6082.9204</v>
      </c>
      <c r="Y248" s="49">
        <f t="shared" si="159"/>
        <v>6082.9204</v>
      </c>
      <c r="Z248" s="49">
        <f t="shared" si="159"/>
        <v>6082.9204</v>
      </c>
      <c r="AA248" s="49">
        <f t="shared" si="159"/>
        <v>6082.9204</v>
      </c>
    </row>
    <row r="249" spans="2:27" x14ac:dyDescent="0.3">
      <c r="B249" s="57" t="s">
        <v>2</v>
      </c>
      <c r="C249" s="57"/>
      <c r="D249" s="57"/>
      <c r="E249" s="57"/>
      <c r="F249" s="57"/>
      <c r="G249" s="78"/>
      <c r="H249" s="78"/>
      <c r="I249" s="78"/>
      <c r="J249" s="78"/>
      <c r="K249" s="78"/>
      <c r="L249" s="78"/>
      <c r="M249" s="78"/>
      <c r="N249" s="78"/>
      <c r="O249" s="78"/>
      <c r="P249" s="78"/>
      <c r="Q249" s="78"/>
      <c r="R249" s="78"/>
      <c r="S249" s="78"/>
      <c r="T249" s="78"/>
      <c r="U249" s="78"/>
      <c r="V249" s="78"/>
      <c r="W249" s="78"/>
      <c r="X249" s="78"/>
      <c r="Y249" s="78"/>
      <c r="Z249" s="78"/>
      <c r="AA249" s="78"/>
    </row>
    <row r="250" spans="2:27" x14ac:dyDescent="0.3">
      <c r="B250" s="47" t="s">
        <v>122</v>
      </c>
      <c r="C250" s="47"/>
      <c r="D250" s="47"/>
      <c r="E250" s="47"/>
      <c r="F250" s="47"/>
      <c r="G250" s="49">
        <v>418380.17099999997</v>
      </c>
      <c r="H250" s="49">
        <v>477614.6</v>
      </c>
      <c r="I250" s="49">
        <v>485267.32000000007</v>
      </c>
      <c r="J250" s="49">
        <v>555713.26</v>
      </c>
      <c r="K250" s="49">
        <v>552076.43999999994</v>
      </c>
      <c r="L250" s="49">
        <v>560551.92799999996</v>
      </c>
      <c r="M250" s="49">
        <v>330698.88400000002</v>
      </c>
      <c r="N250" s="49">
        <v>431404.26799999998</v>
      </c>
      <c r="O250" s="49">
        <f t="shared" ref="O250" si="160">+AVERAGE(L250:N250)</f>
        <v>440885.02666666661</v>
      </c>
      <c r="P250" s="49">
        <f>+O250</f>
        <v>440885.02666666661</v>
      </c>
      <c r="Q250" s="49">
        <f t="shared" ref="Q250:AA250" si="161">+P250</f>
        <v>440885.02666666661</v>
      </c>
      <c r="R250" s="49">
        <f t="shared" si="161"/>
        <v>440885.02666666661</v>
      </c>
      <c r="S250" s="49">
        <f t="shared" si="161"/>
        <v>440885.02666666661</v>
      </c>
      <c r="T250" s="49">
        <f t="shared" si="161"/>
        <v>440885.02666666661</v>
      </c>
      <c r="U250" s="49">
        <f t="shared" si="161"/>
        <v>440885.02666666661</v>
      </c>
      <c r="V250" s="49">
        <f t="shared" si="161"/>
        <v>440885.02666666661</v>
      </c>
      <c r="W250" s="49">
        <f t="shared" si="161"/>
        <v>440885.02666666661</v>
      </c>
      <c r="X250" s="49">
        <f t="shared" si="161"/>
        <v>440885.02666666661</v>
      </c>
      <c r="Y250" s="49">
        <f t="shared" si="161"/>
        <v>440885.02666666661</v>
      </c>
      <c r="Z250" s="49">
        <f t="shared" si="161"/>
        <v>440885.02666666661</v>
      </c>
      <c r="AA250" s="49">
        <f t="shared" si="161"/>
        <v>440885.02666666661</v>
      </c>
    </row>
    <row r="251" spans="2:27" x14ac:dyDescent="0.3">
      <c r="B251" s="57" t="s">
        <v>42</v>
      </c>
      <c r="C251" s="57"/>
      <c r="D251" s="57"/>
      <c r="E251" s="57"/>
      <c r="F251" s="57"/>
      <c r="G251" s="78"/>
      <c r="H251" s="78"/>
      <c r="I251" s="78"/>
      <c r="J251" s="78"/>
      <c r="K251" s="78"/>
      <c r="L251" s="78"/>
      <c r="M251" s="78"/>
      <c r="N251" s="78"/>
      <c r="O251" s="78"/>
      <c r="P251" s="78"/>
      <c r="Q251" s="78"/>
      <c r="R251" s="78"/>
      <c r="S251" s="78"/>
      <c r="T251" s="78"/>
      <c r="U251" s="78"/>
      <c r="V251" s="78"/>
      <c r="W251" s="78"/>
      <c r="X251" s="78"/>
      <c r="Y251" s="78"/>
      <c r="Z251" s="78"/>
      <c r="AA251" s="78"/>
    </row>
    <row r="252" spans="2:27" x14ac:dyDescent="0.3">
      <c r="B252" s="47" t="s">
        <v>133</v>
      </c>
      <c r="C252" s="395"/>
      <c r="D252" s="395"/>
      <c r="E252" s="47"/>
      <c r="F252" s="47"/>
      <c r="G252" s="49">
        <v>35381.828000000001</v>
      </c>
      <c r="H252" s="49">
        <v>40391.101000000002</v>
      </c>
      <c r="I252" s="49">
        <v>32300.107999999997</v>
      </c>
      <c r="J252" s="49">
        <v>36699.025999999998</v>
      </c>
      <c r="K252" s="49">
        <v>35041.322</v>
      </c>
      <c r="L252" s="49">
        <v>38808.311000000002</v>
      </c>
      <c r="M252" s="49">
        <v>27181.951999999997</v>
      </c>
      <c r="N252" s="49">
        <v>38544.047999999995</v>
      </c>
      <c r="O252" s="49">
        <f t="shared" ref="O252:O253" si="162">+AVERAGE(L252:N252)</f>
        <v>34844.770333333334</v>
      </c>
      <c r="P252" s="49">
        <f t="shared" ref="P252:AA252" si="163">+O252</f>
        <v>34844.770333333334</v>
      </c>
      <c r="Q252" s="49">
        <f t="shared" si="163"/>
        <v>34844.770333333334</v>
      </c>
      <c r="R252" s="49">
        <f t="shared" si="163"/>
        <v>34844.770333333334</v>
      </c>
      <c r="S252" s="49">
        <f t="shared" si="163"/>
        <v>34844.770333333334</v>
      </c>
      <c r="T252" s="49">
        <f t="shared" si="163"/>
        <v>34844.770333333334</v>
      </c>
      <c r="U252" s="49">
        <f t="shared" si="163"/>
        <v>34844.770333333334</v>
      </c>
      <c r="V252" s="49">
        <f t="shared" si="163"/>
        <v>34844.770333333334</v>
      </c>
      <c r="W252" s="49">
        <f t="shared" si="163"/>
        <v>34844.770333333334</v>
      </c>
      <c r="X252" s="49">
        <f t="shared" si="163"/>
        <v>34844.770333333334</v>
      </c>
      <c r="Y252" s="49">
        <f t="shared" si="163"/>
        <v>34844.770333333334</v>
      </c>
      <c r="Z252" s="49">
        <f t="shared" si="163"/>
        <v>34844.770333333334</v>
      </c>
      <c r="AA252" s="49">
        <f t="shared" si="163"/>
        <v>34844.770333333334</v>
      </c>
    </row>
    <row r="253" spans="2:27" x14ac:dyDescent="0.3">
      <c r="B253" s="47" t="s">
        <v>134</v>
      </c>
      <c r="C253" s="47"/>
      <c r="D253" s="47"/>
      <c r="E253" s="47"/>
      <c r="F253" s="47"/>
      <c r="G253" s="49">
        <v>43128.714000000007</v>
      </c>
      <c r="H253" s="49">
        <v>46044.358999999997</v>
      </c>
      <c r="I253" s="49">
        <v>43194.46</v>
      </c>
      <c r="J253" s="49">
        <v>45291.724999999999</v>
      </c>
      <c r="K253" s="49">
        <v>48557.090000000004</v>
      </c>
      <c r="L253" s="49">
        <v>47305.845000000001</v>
      </c>
      <c r="M253" s="49">
        <v>39690.658000000003</v>
      </c>
      <c r="N253" s="49">
        <v>47225.397999999994</v>
      </c>
      <c r="O253" s="49">
        <f t="shared" si="162"/>
        <v>44740.633666666661</v>
      </c>
      <c r="P253" s="49">
        <f t="shared" ref="P253:AA253" si="164">+O253</f>
        <v>44740.633666666661</v>
      </c>
      <c r="Q253" s="49">
        <f t="shared" si="164"/>
        <v>44740.633666666661</v>
      </c>
      <c r="R253" s="49">
        <f t="shared" si="164"/>
        <v>44740.633666666661</v>
      </c>
      <c r="S253" s="49">
        <f t="shared" si="164"/>
        <v>44740.633666666661</v>
      </c>
      <c r="T253" s="49">
        <f t="shared" si="164"/>
        <v>44740.633666666661</v>
      </c>
      <c r="U253" s="49">
        <f t="shared" si="164"/>
        <v>44740.633666666661</v>
      </c>
      <c r="V253" s="49">
        <f t="shared" si="164"/>
        <v>44740.633666666661</v>
      </c>
      <c r="W253" s="49">
        <f t="shared" si="164"/>
        <v>44740.633666666661</v>
      </c>
      <c r="X253" s="49">
        <f t="shared" si="164"/>
        <v>44740.633666666661</v>
      </c>
      <c r="Y253" s="49">
        <f t="shared" si="164"/>
        <v>44740.633666666661</v>
      </c>
      <c r="Z253" s="49">
        <f t="shared" si="164"/>
        <v>44740.633666666661</v>
      </c>
      <c r="AA253" s="49">
        <f t="shared" si="164"/>
        <v>44740.633666666661</v>
      </c>
    </row>
    <row r="254" spans="2:27" x14ac:dyDescent="0.3">
      <c r="B254" s="57" t="s">
        <v>43</v>
      </c>
      <c r="C254" s="57"/>
      <c r="D254" s="57"/>
      <c r="E254" s="57"/>
      <c r="F254" s="57"/>
      <c r="G254" s="78"/>
      <c r="H254" s="78"/>
      <c r="I254" s="78"/>
      <c r="J254" s="78"/>
      <c r="K254" s="78"/>
      <c r="L254" s="78"/>
      <c r="M254" s="78"/>
      <c r="N254" s="78"/>
      <c r="O254" s="78"/>
      <c r="P254" s="78"/>
      <c r="Q254" s="78"/>
      <c r="R254" s="78"/>
      <c r="S254" s="78"/>
      <c r="T254" s="78"/>
      <c r="U254" s="78"/>
      <c r="V254" s="78"/>
      <c r="W254" s="78"/>
      <c r="X254" s="78"/>
      <c r="Y254" s="78"/>
      <c r="Z254" s="78"/>
      <c r="AA254" s="78"/>
    </row>
    <row r="255" spans="2:27" x14ac:dyDescent="0.3">
      <c r="B255" s="47" t="s">
        <v>124</v>
      </c>
      <c r="C255" s="47"/>
      <c r="D255" s="47"/>
      <c r="E255" s="47"/>
      <c r="F255" s="47"/>
      <c r="G255" s="49">
        <v>8884.2089999999989</v>
      </c>
      <c r="H255" s="49">
        <v>15926.226000000001</v>
      </c>
      <c r="I255" s="49">
        <v>12913.739999999998</v>
      </c>
      <c r="J255" s="49">
        <v>11358.185999999998</v>
      </c>
      <c r="K255" s="49">
        <v>10445.099</v>
      </c>
      <c r="L255" s="49">
        <v>12813.867</v>
      </c>
      <c r="M255" s="49">
        <v>6632.0620000000017</v>
      </c>
      <c r="N255" s="49">
        <v>11241.978999999999</v>
      </c>
      <c r="O255" s="49">
        <f t="shared" ref="O255" si="165">+AVERAGE(L255:N255)</f>
        <v>10229.302666666668</v>
      </c>
      <c r="P255" s="49">
        <f>+O255</f>
        <v>10229.302666666668</v>
      </c>
      <c r="Q255" s="49">
        <f t="shared" ref="Q255:AA255" si="166">+P255</f>
        <v>10229.302666666668</v>
      </c>
      <c r="R255" s="49">
        <f t="shared" si="166"/>
        <v>10229.302666666668</v>
      </c>
      <c r="S255" s="49">
        <f t="shared" si="166"/>
        <v>10229.302666666668</v>
      </c>
      <c r="T255" s="49">
        <f t="shared" si="166"/>
        <v>10229.302666666668</v>
      </c>
      <c r="U255" s="49">
        <f t="shared" si="166"/>
        <v>10229.302666666668</v>
      </c>
      <c r="V255" s="49">
        <f t="shared" si="166"/>
        <v>10229.302666666668</v>
      </c>
      <c r="W255" s="49">
        <f t="shared" si="166"/>
        <v>10229.302666666668</v>
      </c>
      <c r="X255" s="49">
        <f t="shared" si="166"/>
        <v>10229.302666666668</v>
      </c>
      <c r="Y255" s="49">
        <f t="shared" si="166"/>
        <v>10229.302666666668</v>
      </c>
      <c r="Z255" s="49">
        <f t="shared" si="166"/>
        <v>10229.302666666668</v>
      </c>
      <c r="AA255" s="49">
        <f t="shared" si="166"/>
        <v>10229.302666666668</v>
      </c>
    </row>
    <row r="256" spans="2:27" x14ac:dyDescent="0.3">
      <c r="B256" s="57" t="s">
        <v>46</v>
      </c>
      <c r="C256" s="57"/>
      <c r="D256" s="57"/>
      <c r="E256" s="57"/>
      <c r="F256" s="57"/>
      <c r="G256" s="78"/>
      <c r="H256" s="78"/>
      <c r="I256" s="78"/>
      <c r="J256" s="78"/>
      <c r="K256" s="78"/>
      <c r="L256" s="78"/>
      <c r="M256" s="78"/>
      <c r="N256" s="78"/>
      <c r="O256" s="78"/>
      <c r="P256" s="78"/>
      <c r="Q256" s="78"/>
      <c r="R256" s="78"/>
      <c r="S256" s="78"/>
      <c r="T256" s="78"/>
      <c r="U256" s="78"/>
      <c r="V256" s="78"/>
      <c r="W256" s="78"/>
      <c r="X256" s="78"/>
      <c r="Y256" s="78"/>
      <c r="Z256" s="78"/>
      <c r="AA256" s="78"/>
    </row>
    <row r="257" spans="2:27" x14ac:dyDescent="0.3">
      <c r="B257" s="47" t="s">
        <v>150</v>
      </c>
      <c r="C257" s="47"/>
      <c r="D257" s="47"/>
      <c r="E257" s="47"/>
      <c r="F257" s="47"/>
      <c r="G257" s="49">
        <v>190812.26330156953</v>
      </c>
      <c r="H257" s="49">
        <v>206067.00099999999</v>
      </c>
      <c r="I257" s="49">
        <v>209706.07100000003</v>
      </c>
      <c r="J257" s="49">
        <v>223487.34744793986</v>
      </c>
      <c r="K257" s="49">
        <v>70571.212</v>
      </c>
      <c r="L257" s="49">
        <v>211398.55300000001</v>
      </c>
      <c r="M257" s="49">
        <v>155757.26200000002</v>
      </c>
      <c r="N257" s="49">
        <v>179334.13099999996</v>
      </c>
      <c r="O257" s="49">
        <f t="shared" ref="O257" si="167">+AVERAGE(L257:N257)</f>
        <v>182163.31533333333</v>
      </c>
      <c r="P257" s="49">
        <f>+O257</f>
        <v>182163.31533333333</v>
      </c>
      <c r="Q257" s="49">
        <f t="shared" ref="Q257:AA257" si="168">+P257</f>
        <v>182163.31533333333</v>
      </c>
      <c r="R257" s="49">
        <f t="shared" si="168"/>
        <v>182163.31533333333</v>
      </c>
      <c r="S257" s="49">
        <f t="shared" si="168"/>
        <v>182163.31533333333</v>
      </c>
      <c r="T257" s="49">
        <f t="shared" si="168"/>
        <v>182163.31533333333</v>
      </c>
      <c r="U257" s="49">
        <f t="shared" si="168"/>
        <v>182163.31533333333</v>
      </c>
      <c r="V257" s="49">
        <f t="shared" si="168"/>
        <v>182163.31533333333</v>
      </c>
      <c r="W257" s="49">
        <f t="shared" si="168"/>
        <v>182163.31533333333</v>
      </c>
      <c r="X257" s="49">
        <f t="shared" si="168"/>
        <v>182163.31533333333</v>
      </c>
      <c r="Y257" s="49">
        <f t="shared" si="168"/>
        <v>182163.31533333333</v>
      </c>
      <c r="Z257" s="49">
        <f t="shared" si="168"/>
        <v>182163.31533333333</v>
      </c>
      <c r="AA257" s="49">
        <f t="shared" si="168"/>
        <v>182163.31533333333</v>
      </c>
    </row>
    <row r="258" spans="2:27" x14ac:dyDescent="0.3">
      <c r="B258" s="57" t="s">
        <v>1</v>
      </c>
      <c r="C258" s="57"/>
      <c r="D258" s="57"/>
      <c r="E258" s="57"/>
      <c r="F258" s="57"/>
      <c r="G258" s="78"/>
      <c r="H258" s="78"/>
      <c r="I258" s="78"/>
      <c r="J258" s="78"/>
      <c r="K258" s="78"/>
      <c r="L258" s="78"/>
      <c r="M258" s="78"/>
      <c r="N258" s="78"/>
      <c r="O258" s="78"/>
      <c r="P258" s="78"/>
      <c r="Q258" s="78"/>
      <c r="R258" s="78"/>
      <c r="S258" s="78"/>
      <c r="T258" s="78"/>
      <c r="U258" s="78"/>
      <c r="V258" s="78"/>
      <c r="W258" s="78"/>
      <c r="X258" s="78"/>
      <c r="Y258" s="78"/>
      <c r="Z258" s="78"/>
      <c r="AA258" s="78"/>
    </row>
    <row r="259" spans="2:27" x14ac:dyDescent="0.3">
      <c r="B259" s="47" t="s">
        <v>123</v>
      </c>
      <c r="C259" s="395"/>
      <c r="D259" s="395"/>
      <c r="E259" s="47"/>
      <c r="F259" s="47"/>
      <c r="G259" s="49">
        <v>11345.115999999998</v>
      </c>
      <c r="H259" s="49">
        <v>11062.147000000001</v>
      </c>
      <c r="I259" s="49">
        <v>9730.2360000000008</v>
      </c>
      <c r="J259" s="49">
        <v>8366.9229999999989</v>
      </c>
      <c r="K259" s="49">
        <v>9230.8360000000011</v>
      </c>
      <c r="L259" s="49">
        <v>9970.2779999999984</v>
      </c>
      <c r="M259" s="49">
        <v>9497.0040000000008</v>
      </c>
      <c r="N259" s="49">
        <v>10212.421999999999</v>
      </c>
      <c r="O259" s="49">
        <f t="shared" ref="O259" si="169">+AVERAGE(L259:N259)</f>
        <v>9893.2346666666654</v>
      </c>
      <c r="P259" s="49">
        <f>+O259</f>
        <v>9893.2346666666654</v>
      </c>
      <c r="Q259" s="49">
        <f t="shared" ref="Q259:AA259" si="170">+P259</f>
        <v>9893.2346666666654</v>
      </c>
      <c r="R259" s="49">
        <f t="shared" si="170"/>
        <v>9893.2346666666654</v>
      </c>
      <c r="S259" s="49">
        <f t="shared" si="170"/>
        <v>9893.2346666666654</v>
      </c>
      <c r="T259" s="49">
        <f t="shared" si="170"/>
        <v>9893.2346666666654</v>
      </c>
      <c r="U259" s="49">
        <f t="shared" si="170"/>
        <v>9893.2346666666654</v>
      </c>
      <c r="V259" s="49">
        <f t="shared" si="170"/>
        <v>9893.2346666666654</v>
      </c>
      <c r="W259" s="49">
        <f t="shared" si="170"/>
        <v>9893.2346666666654</v>
      </c>
      <c r="X259" s="49">
        <f t="shared" si="170"/>
        <v>9893.2346666666654</v>
      </c>
      <c r="Y259" s="49">
        <f t="shared" si="170"/>
        <v>9893.2346666666654</v>
      </c>
      <c r="Z259" s="49">
        <f t="shared" si="170"/>
        <v>9893.2346666666654</v>
      </c>
      <c r="AA259" s="49">
        <f t="shared" si="170"/>
        <v>9893.2346666666654</v>
      </c>
    </row>
    <row r="260" spans="2:27" x14ac:dyDescent="0.3">
      <c r="C260" s="47"/>
      <c r="D260" s="47"/>
    </row>
    <row r="261" spans="2:27" ht="28.8" x14ac:dyDescent="0.3">
      <c r="B261" s="84" t="s">
        <v>164</v>
      </c>
      <c r="C261" s="84"/>
      <c r="D261" s="84"/>
      <c r="E261" s="84"/>
      <c r="F261" s="84"/>
      <c r="G261" s="79" t="s">
        <v>165</v>
      </c>
      <c r="H261" s="79" t="s">
        <v>165</v>
      </c>
      <c r="I261" s="79" t="s">
        <v>165</v>
      </c>
      <c r="J261" s="79" t="s">
        <v>165</v>
      </c>
      <c r="K261" s="79" t="s">
        <v>165</v>
      </c>
      <c r="L261" s="79" t="s">
        <v>165</v>
      </c>
      <c r="M261" s="79" t="s">
        <v>165</v>
      </c>
      <c r="N261" s="79" t="s">
        <v>165</v>
      </c>
      <c r="O261" s="79" t="s">
        <v>165</v>
      </c>
      <c r="P261" s="79" t="s">
        <v>165</v>
      </c>
      <c r="Q261" s="79" t="s">
        <v>165</v>
      </c>
      <c r="R261" s="79" t="s">
        <v>165</v>
      </c>
      <c r="S261" s="79" t="s">
        <v>165</v>
      </c>
      <c r="T261" s="79" t="s">
        <v>165</v>
      </c>
      <c r="U261" s="79" t="s">
        <v>165</v>
      </c>
      <c r="V261" s="79" t="s">
        <v>165</v>
      </c>
      <c r="W261" s="79" t="s">
        <v>165</v>
      </c>
      <c r="X261" s="79" t="s">
        <v>165</v>
      </c>
      <c r="Y261" s="79" t="s">
        <v>165</v>
      </c>
      <c r="Z261" s="79" t="s">
        <v>165</v>
      </c>
      <c r="AA261" s="79" t="s">
        <v>165</v>
      </c>
    </row>
    <row r="262" spans="2:27" x14ac:dyDescent="0.3">
      <c r="B262" s="7" t="s">
        <v>12</v>
      </c>
      <c r="C262" s="11"/>
      <c r="D262" s="11"/>
      <c r="E262" s="11"/>
      <c r="F262" s="11"/>
      <c r="G262" s="85">
        <f t="shared" ref="G262:M262" si="171">+SUM(G263:G267)</f>
        <v>58156.17</v>
      </c>
      <c r="H262" s="85">
        <f t="shared" si="171"/>
        <v>64040.52</v>
      </c>
      <c r="I262" s="85">
        <f t="shared" si="171"/>
        <v>64494.2</v>
      </c>
      <c r="J262" s="85">
        <f t="shared" si="171"/>
        <v>79491</v>
      </c>
      <c r="K262" s="85">
        <f t="shared" si="171"/>
        <v>76309.624999999985</v>
      </c>
      <c r="L262" s="85">
        <f t="shared" si="171"/>
        <v>79093.507500000007</v>
      </c>
      <c r="M262" s="85">
        <f t="shared" si="171"/>
        <v>61193.049750000006</v>
      </c>
      <c r="N262" s="85">
        <f>+SUM(N263:N267)</f>
        <v>44047.566999999995</v>
      </c>
      <c r="O262" s="85">
        <f>+SUM(O263:O267)</f>
        <v>61776.900333333338</v>
      </c>
      <c r="P262" s="85">
        <f t="shared" ref="P262:AA262" si="172">+SUM(P263:P267)</f>
        <v>61776.900333333338</v>
      </c>
      <c r="Q262" s="85">
        <f t="shared" si="172"/>
        <v>61776.900333333338</v>
      </c>
      <c r="R262" s="85">
        <f t="shared" si="172"/>
        <v>61776.900333333338</v>
      </c>
      <c r="S262" s="85">
        <f t="shared" si="172"/>
        <v>61776.900333333338</v>
      </c>
      <c r="T262" s="85">
        <f t="shared" si="172"/>
        <v>61776.900333333338</v>
      </c>
      <c r="U262" s="85">
        <f t="shared" si="172"/>
        <v>61776.900333333338</v>
      </c>
      <c r="V262" s="85">
        <f t="shared" si="172"/>
        <v>61776.900333333338</v>
      </c>
      <c r="W262" s="85">
        <f t="shared" si="172"/>
        <v>61776.900333333338</v>
      </c>
      <c r="X262" s="85">
        <f t="shared" si="172"/>
        <v>61776.900333333338</v>
      </c>
      <c r="Y262" s="85">
        <f t="shared" si="172"/>
        <v>61776.900333333338</v>
      </c>
      <c r="Z262" s="85">
        <f t="shared" si="172"/>
        <v>61776.900333333338</v>
      </c>
      <c r="AA262" s="85">
        <f t="shared" si="172"/>
        <v>61776.900333333338</v>
      </c>
    </row>
    <row r="263" spans="2:27" x14ac:dyDescent="0.3">
      <c r="B263" s="57" t="s">
        <v>13</v>
      </c>
      <c r="C263" s="57"/>
      <c r="D263" s="57"/>
      <c r="E263" s="57"/>
      <c r="F263" s="57"/>
      <c r="G263" s="78"/>
      <c r="H263" s="78"/>
      <c r="I263" s="78"/>
      <c r="J263" s="78"/>
      <c r="K263" s="78"/>
      <c r="L263" s="78"/>
      <c r="M263" s="78"/>
      <c r="N263" s="78"/>
      <c r="O263" s="78"/>
      <c r="P263" s="78"/>
      <c r="Q263" s="78"/>
      <c r="R263" s="78"/>
      <c r="S263" s="78"/>
      <c r="T263" s="78"/>
      <c r="U263" s="78"/>
      <c r="V263" s="78"/>
      <c r="W263" s="78"/>
      <c r="X263" s="78"/>
      <c r="Y263" s="78"/>
      <c r="Z263" s="78"/>
      <c r="AA263" s="78"/>
    </row>
    <row r="264" spans="2:27" x14ac:dyDescent="0.3">
      <c r="B264" s="47" t="s">
        <v>191</v>
      </c>
      <c r="C264" s="396"/>
      <c r="D264" s="396"/>
      <c r="E264" s="47"/>
      <c r="F264" s="47"/>
      <c r="G264" s="49">
        <v>58156.17</v>
      </c>
      <c r="H264" s="49">
        <v>64040.52</v>
      </c>
      <c r="I264" s="49">
        <v>64494.2</v>
      </c>
      <c r="J264" s="49">
        <v>79491</v>
      </c>
      <c r="K264" s="49">
        <v>65694</v>
      </c>
      <c r="L264" s="49">
        <v>62146</v>
      </c>
      <c r="M264" s="49">
        <v>50538</v>
      </c>
      <c r="N264" s="49">
        <v>29748</v>
      </c>
      <c r="O264" s="49">
        <f t="shared" ref="O264" si="173">+AVERAGE(L264:N264)</f>
        <v>47477.333333333336</v>
      </c>
      <c r="P264" s="49">
        <f t="shared" ref="P264:AA264" si="174">+O264</f>
        <v>47477.333333333336</v>
      </c>
      <c r="Q264" s="49">
        <f t="shared" si="174"/>
        <v>47477.333333333336</v>
      </c>
      <c r="R264" s="49">
        <f t="shared" si="174"/>
        <v>47477.333333333336</v>
      </c>
      <c r="S264" s="49">
        <f t="shared" si="174"/>
        <v>47477.333333333336</v>
      </c>
      <c r="T264" s="49">
        <f t="shared" si="174"/>
        <v>47477.333333333336</v>
      </c>
      <c r="U264" s="49">
        <f t="shared" si="174"/>
        <v>47477.333333333336</v>
      </c>
      <c r="V264" s="49">
        <f t="shared" si="174"/>
        <v>47477.333333333336</v>
      </c>
      <c r="W264" s="49">
        <f t="shared" si="174"/>
        <v>47477.333333333336</v>
      </c>
      <c r="X264" s="49">
        <f t="shared" si="174"/>
        <v>47477.333333333336</v>
      </c>
      <c r="Y264" s="49">
        <f t="shared" si="174"/>
        <v>47477.333333333336</v>
      </c>
      <c r="Z264" s="49">
        <f t="shared" si="174"/>
        <v>47477.333333333336</v>
      </c>
      <c r="AA264" s="49">
        <f t="shared" si="174"/>
        <v>47477.333333333336</v>
      </c>
    </row>
    <row r="265" spans="2:27" x14ac:dyDescent="0.3">
      <c r="B265" s="47" t="s">
        <v>346</v>
      </c>
      <c r="C265" s="396"/>
      <c r="D265" s="396"/>
      <c r="E265" s="47"/>
      <c r="F265" s="47"/>
      <c r="G265" s="49"/>
      <c r="H265" s="49"/>
      <c r="I265" s="49"/>
      <c r="J265" s="49"/>
      <c r="K265" s="49"/>
      <c r="L265" s="49"/>
      <c r="M265" s="49"/>
      <c r="N265" s="49">
        <v>3137</v>
      </c>
      <c r="O265" s="49">
        <f>+N265</f>
        <v>3137</v>
      </c>
      <c r="P265" s="49">
        <f t="shared" ref="P265:AA265" si="175">+O265</f>
        <v>3137</v>
      </c>
      <c r="Q265" s="49">
        <f t="shared" si="175"/>
        <v>3137</v>
      </c>
      <c r="R265" s="49">
        <f t="shared" si="175"/>
        <v>3137</v>
      </c>
      <c r="S265" s="49">
        <f t="shared" si="175"/>
        <v>3137</v>
      </c>
      <c r="T265" s="49">
        <f t="shared" si="175"/>
        <v>3137</v>
      </c>
      <c r="U265" s="49">
        <f t="shared" si="175"/>
        <v>3137</v>
      </c>
      <c r="V265" s="49">
        <f t="shared" si="175"/>
        <v>3137</v>
      </c>
      <c r="W265" s="49">
        <f t="shared" si="175"/>
        <v>3137</v>
      </c>
      <c r="X265" s="49">
        <f t="shared" si="175"/>
        <v>3137</v>
      </c>
      <c r="Y265" s="49">
        <f t="shared" si="175"/>
        <v>3137</v>
      </c>
      <c r="Z265" s="49">
        <f t="shared" si="175"/>
        <v>3137</v>
      </c>
      <c r="AA265" s="49">
        <f t="shared" si="175"/>
        <v>3137</v>
      </c>
    </row>
    <row r="266" spans="2:27" x14ac:dyDescent="0.3">
      <c r="B266" s="57" t="s">
        <v>17</v>
      </c>
      <c r="C266" s="57"/>
      <c r="D266" s="57"/>
      <c r="E266" s="57"/>
      <c r="F266" s="57"/>
      <c r="G266" s="78"/>
      <c r="H266" s="78"/>
      <c r="I266" s="78"/>
      <c r="J266" s="78"/>
      <c r="K266" s="78"/>
      <c r="L266" s="78"/>
      <c r="M266" s="78"/>
      <c r="N266" s="78"/>
      <c r="O266" s="78"/>
      <c r="P266" s="78"/>
      <c r="Q266" s="78"/>
      <c r="R266" s="78"/>
      <c r="S266" s="78"/>
      <c r="T266" s="78"/>
      <c r="U266" s="78"/>
      <c r="V266" s="78"/>
      <c r="W266" s="78"/>
      <c r="X266" s="78"/>
      <c r="Y266" s="78"/>
      <c r="Z266" s="78"/>
      <c r="AA266" s="78"/>
    </row>
    <row r="267" spans="2:27" x14ac:dyDescent="0.3">
      <c r="B267" s="47" t="s">
        <v>325</v>
      </c>
      <c r="C267" s="47"/>
      <c r="D267" s="47"/>
      <c r="E267" s="47"/>
      <c r="F267" s="47"/>
      <c r="G267" s="47"/>
      <c r="H267" s="47"/>
      <c r="I267" s="47"/>
      <c r="J267" s="47"/>
      <c r="K267" s="49">
        <v>10615.624999999991</v>
      </c>
      <c r="L267" s="49">
        <v>16947.507500000011</v>
      </c>
      <c r="M267" s="49">
        <v>10655.049750000002</v>
      </c>
      <c r="N267" s="49">
        <v>11162.566999999999</v>
      </c>
      <c r="O267" s="49">
        <f>+N267</f>
        <v>11162.566999999999</v>
      </c>
      <c r="P267" s="49">
        <f>+O267</f>
        <v>11162.566999999999</v>
      </c>
      <c r="Q267" s="49">
        <f t="shared" ref="Q267:AA267" si="176">+P267</f>
        <v>11162.566999999999</v>
      </c>
      <c r="R267" s="49">
        <f t="shared" si="176"/>
        <v>11162.566999999999</v>
      </c>
      <c r="S267" s="49">
        <f t="shared" si="176"/>
        <v>11162.566999999999</v>
      </c>
      <c r="T267" s="49">
        <f t="shared" si="176"/>
        <v>11162.566999999999</v>
      </c>
      <c r="U267" s="49">
        <f t="shared" si="176"/>
        <v>11162.566999999999</v>
      </c>
      <c r="V267" s="49">
        <f t="shared" si="176"/>
        <v>11162.566999999999</v>
      </c>
      <c r="W267" s="49">
        <f t="shared" si="176"/>
        <v>11162.566999999999</v>
      </c>
      <c r="X267" s="49">
        <f t="shared" si="176"/>
        <v>11162.566999999999</v>
      </c>
      <c r="Y267" s="49">
        <f t="shared" si="176"/>
        <v>11162.566999999999</v>
      </c>
      <c r="Z267" s="49">
        <f t="shared" si="176"/>
        <v>11162.566999999999</v>
      </c>
      <c r="AA267" s="49">
        <f t="shared" si="176"/>
        <v>11162.566999999999</v>
      </c>
    </row>
    <row r="268" spans="2:27" x14ac:dyDescent="0.3">
      <c r="C268" s="47"/>
      <c r="D268" s="47"/>
    </row>
    <row r="269" spans="2:27" ht="28.8" x14ac:dyDescent="0.3">
      <c r="B269" s="84" t="s">
        <v>164</v>
      </c>
      <c r="C269" s="80" t="s">
        <v>279</v>
      </c>
      <c r="D269" s="389" t="s">
        <v>397</v>
      </c>
      <c r="E269" s="388" t="s">
        <v>247</v>
      </c>
      <c r="F269" s="84"/>
      <c r="G269" s="79" t="s">
        <v>165</v>
      </c>
      <c r="H269" s="79" t="s">
        <v>165</v>
      </c>
      <c r="I269" s="79" t="s">
        <v>165</v>
      </c>
      <c r="J269" s="79" t="s">
        <v>165</v>
      </c>
      <c r="K269" s="79" t="s">
        <v>165</v>
      </c>
      <c r="L269" s="79" t="s">
        <v>165</v>
      </c>
      <c r="M269" s="79" t="s">
        <v>165</v>
      </c>
      <c r="N269" s="79" t="s">
        <v>165</v>
      </c>
      <c r="O269" s="79"/>
      <c r="P269" s="79"/>
      <c r="Q269" s="79"/>
      <c r="R269" s="79"/>
      <c r="S269" s="79"/>
      <c r="T269" s="79"/>
      <c r="U269" s="79"/>
      <c r="V269" s="79"/>
      <c r="W269" s="79"/>
      <c r="X269" s="79"/>
      <c r="Y269" s="79"/>
      <c r="Z269" s="79"/>
      <c r="AA269" s="79"/>
    </row>
    <row r="270" spans="2:27" x14ac:dyDescent="0.3">
      <c r="B270" s="7" t="s">
        <v>8</v>
      </c>
      <c r="C270" s="11"/>
      <c r="D270" s="11"/>
      <c r="E270" s="11"/>
      <c r="F270" s="11"/>
      <c r="G270" s="85">
        <f t="shared" ref="G270:M270" si="177">+SUM(G271:G273)</f>
        <v>0</v>
      </c>
      <c r="H270" s="85">
        <f t="shared" si="177"/>
        <v>0</v>
      </c>
      <c r="I270" s="85">
        <f t="shared" si="177"/>
        <v>0</v>
      </c>
      <c r="J270" s="85">
        <f t="shared" si="177"/>
        <v>36.528500000000001</v>
      </c>
      <c r="K270" s="85">
        <f t="shared" si="177"/>
        <v>8157.7569999999996</v>
      </c>
      <c r="L270" s="85">
        <f t="shared" si="177"/>
        <v>11450.126</v>
      </c>
      <c r="M270" s="85">
        <f t="shared" si="177"/>
        <v>34911.444000000003</v>
      </c>
      <c r="N270" s="85">
        <f>+SUM(N271:N273)</f>
        <v>60383.278999999995</v>
      </c>
      <c r="O270" s="85">
        <f t="shared" ref="O270:AA270" si="178">+SUM(O271:O273)</f>
        <v>86072.578999999998</v>
      </c>
      <c r="P270" s="85">
        <f t="shared" si="178"/>
        <v>86072.578999999998</v>
      </c>
      <c r="Q270" s="85">
        <f t="shared" si="178"/>
        <v>86072.578999999998</v>
      </c>
      <c r="R270" s="85">
        <f t="shared" si="178"/>
        <v>86072.578999999998</v>
      </c>
      <c r="S270" s="85">
        <f t="shared" si="178"/>
        <v>86072.578999999998</v>
      </c>
      <c r="T270" s="85">
        <f t="shared" si="178"/>
        <v>86072.578999999998</v>
      </c>
      <c r="U270" s="85">
        <f t="shared" si="178"/>
        <v>86072.578999999998</v>
      </c>
      <c r="V270" s="85">
        <f t="shared" si="178"/>
        <v>86072.578999999998</v>
      </c>
      <c r="W270" s="85">
        <f t="shared" si="178"/>
        <v>86072.578999999998</v>
      </c>
      <c r="X270" s="85">
        <f t="shared" si="178"/>
        <v>86072.578999999998</v>
      </c>
      <c r="Y270" s="85">
        <f t="shared" si="178"/>
        <v>86072.578999999998</v>
      </c>
      <c r="Z270" s="85">
        <f t="shared" si="178"/>
        <v>86072.578999999998</v>
      </c>
      <c r="AA270" s="85">
        <f t="shared" si="178"/>
        <v>86072.578999999998</v>
      </c>
    </row>
    <row r="271" spans="2:27" x14ac:dyDescent="0.3">
      <c r="B271" s="57" t="s">
        <v>9</v>
      </c>
      <c r="C271" s="57"/>
      <c r="D271" s="57"/>
      <c r="E271" s="57"/>
      <c r="F271" s="57"/>
      <c r="G271" s="78"/>
      <c r="H271" s="78"/>
      <c r="I271" s="78"/>
      <c r="J271" s="78"/>
      <c r="K271" s="78"/>
      <c r="L271" s="78"/>
      <c r="M271" s="78"/>
      <c r="N271" s="78"/>
      <c r="O271" s="78"/>
      <c r="P271" s="78"/>
      <c r="Q271" s="78"/>
      <c r="R271" s="78"/>
      <c r="S271" s="78"/>
      <c r="T271" s="78"/>
      <c r="U271" s="78"/>
      <c r="V271" s="78"/>
      <c r="W271" s="78"/>
      <c r="X271" s="78"/>
      <c r="Y271" s="78"/>
      <c r="Z271" s="78"/>
      <c r="AA271" s="78"/>
    </row>
    <row r="272" spans="2:27" x14ac:dyDescent="0.3">
      <c r="B272" s="47" t="s">
        <v>340</v>
      </c>
      <c r="C272" s="396"/>
      <c r="D272" s="396"/>
      <c r="E272" s="47"/>
      <c r="F272" s="47"/>
      <c r="G272" s="47"/>
      <c r="H272" s="47"/>
      <c r="I272" s="47"/>
      <c r="J272" s="49">
        <v>36.528500000000001</v>
      </c>
      <c r="K272" s="49">
        <v>8157.7569999999996</v>
      </c>
      <c r="L272" s="49">
        <v>11450.126</v>
      </c>
      <c r="M272" s="49">
        <v>13207.373</v>
      </c>
      <c r="N272" s="49">
        <v>12488.579</v>
      </c>
      <c r="O272" s="49">
        <f>+N272</f>
        <v>12488.579</v>
      </c>
      <c r="P272" s="49">
        <f>+O272</f>
        <v>12488.579</v>
      </c>
      <c r="Q272" s="49">
        <f t="shared" ref="Q272:AA273" si="179">+P272</f>
        <v>12488.579</v>
      </c>
      <c r="R272" s="49">
        <f t="shared" si="179"/>
        <v>12488.579</v>
      </c>
      <c r="S272" s="49">
        <f t="shared" si="179"/>
        <v>12488.579</v>
      </c>
      <c r="T272" s="49">
        <f t="shared" si="179"/>
        <v>12488.579</v>
      </c>
      <c r="U272" s="49">
        <f t="shared" si="179"/>
        <v>12488.579</v>
      </c>
      <c r="V272" s="49">
        <f t="shared" si="179"/>
        <v>12488.579</v>
      </c>
      <c r="W272" s="49">
        <f t="shared" si="179"/>
        <v>12488.579</v>
      </c>
      <c r="X272" s="49">
        <f t="shared" si="179"/>
        <v>12488.579</v>
      </c>
      <c r="Y272" s="49">
        <f t="shared" si="179"/>
        <v>12488.579</v>
      </c>
      <c r="Z272" s="49">
        <f t="shared" si="179"/>
        <v>12488.579</v>
      </c>
      <c r="AA272" s="49">
        <f t="shared" si="179"/>
        <v>12488.579</v>
      </c>
    </row>
    <row r="273" spans="2:27" x14ac:dyDescent="0.3">
      <c r="B273" s="47" t="s">
        <v>341</v>
      </c>
      <c r="C273" s="227">
        <v>2016</v>
      </c>
      <c r="D273" s="182">
        <v>24</v>
      </c>
      <c r="E273" s="15">
        <v>0.35</v>
      </c>
      <c r="F273" s="47"/>
      <c r="G273" s="49"/>
      <c r="H273" s="49"/>
      <c r="I273" s="49"/>
      <c r="J273" s="49"/>
      <c r="K273" s="49"/>
      <c r="L273" s="49"/>
      <c r="M273" s="49">
        <v>21704.071000000004</v>
      </c>
      <c r="N273" s="49">
        <v>47894.7</v>
      </c>
      <c r="O273" s="49">
        <f>+D273*8760*E273</f>
        <v>73584</v>
      </c>
      <c r="P273" s="49">
        <f>+O273</f>
        <v>73584</v>
      </c>
      <c r="Q273" s="49">
        <f t="shared" si="179"/>
        <v>73584</v>
      </c>
      <c r="R273" s="49">
        <f t="shared" si="179"/>
        <v>73584</v>
      </c>
      <c r="S273" s="49">
        <f t="shared" si="179"/>
        <v>73584</v>
      </c>
      <c r="T273" s="49">
        <f t="shared" si="179"/>
        <v>73584</v>
      </c>
      <c r="U273" s="49">
        <f t="shared" si="179"/>
        <v>73584</v>
      </c>
      <c r="V273" s="49">
        <f t="shared" si="179"/>
        <v>73584</v>
      </c>
      <c r="W273" s="49">
        <f t="shared" si="179"/>
        <v>73584</v>
      </c>
      <c r="X273" s="49">
        <f t="shared" si="179"/>
        <v>73584</v>
      </c>
      <c r="Y273" s="49">
        <f t="shared" si="179"/>
        <v>73584</v>
      </c>
      <c r="Z273" s="49">
        <f t="shared" si="179"/>
        <v>73584</v>
      </c>
      <c r="AA273" s="49">
        <f t="shared" si="179"/>
        <v>73584</v>
      </c>
    </row>
  </sheetData>
  <conditionalFormatting sqref="F119:F186">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B3:AB39"/>
  <sheetViews>
    <sheetView topLeftCell="O1" zoomScale="85" zoomScaleNormal="85" workbookViewId="0"/>
  </sheetViews>
  <sheetFormatPr baseColWidth="10" defaultColWidth="9.109375" defaultRowHeight="14.4" x14ac:dyDescent="0.3"/>
  <cols>
    <col min="1" max="2" width="9.109375" style="1"/>
    <col min="3" max="3" width="52.44140625" style="1" customWidth="1"/>
    <col min="4" max="4" width="12.88671875" style="1" bestFit="1" customWidth="1"/>
    <col min="5" max="5" width="12" style="1" bestFit="1" customWidth="1"/>
    <col min="6" max="16" width="10.5546875" style="1" bestFit="1" customWidth="1"/>
    <col min="17" max="28" width="11.5546875" style="1" bestFit="1" customWidth="1"/>
    <col min="29" max="16384" width="9.109375" style="1"/>
  </cols>
  <sheetData>
    <row r="3" spans="2:15" ht="23.4" x14ac:dyDescent="0.45">
      <c r="C3" s="285" t="s">
        <v>355</v>
      </c>
    </row>
    <row r="4" spans="2:15" ht="23.4" x14ac:dyDescent="0.45">
      <c r="B4" s="9"/>
      <c r="C4" s="285"/>
    </row>
    <row r="5" spans="2:15" ht="18" x14ac:dyDescent="0.35">
      <c r="B5" s="9"/>
      <c r="C5" s="516" t="s">
        <v>529</v>
      </c>
      <c r="D5" s="9"/>
      <c r="E5" s="9"/>
    </row>
    <row r="6" spans="2:15" ht="15" thickBot="1" x14ac:dyDescent="0.35">
      <c r="B6" s="9"/>
      <c r="C6" s="9"/>
      <c r="D6" s="9"/>
      <c r="E6" s="9"/>
      <c r="O6" s="9"/>
    </row>
    <row r="7" spans="2:15" ht="15.6" x14ac:dyDescent="0.3">
      <c r="B7" s="9"/>
      <c r="C7" s="171" t="s">
        <v>271</v>
      </c>
      <c r="D7" s="172" t="s">
        <v>270</v>
      </c>
      <c r="E7" s="172" t="s">
        <v>269</v>
      </c>
      <c r="F7" s="172">
        <v>2008</v>
      </c>
      <c r="G7" s="172">
        <v>2009</v>
      </c>
      <c r="H7" s="173">
        <v>2010</v>
      </c>
      <c r="I7" s="172">
        <v>2011</v>
      </c>
      <c r="J7" s="172">
        <v>2012</v>
      </c>
      <c r="K7" s="172">
        <v>2013</v>
      </c>
      <c r="L7" s="172">
        <v>2014</v>
      </c>
      <c r="M7" s="172">
        <v>2015</v>
      </c>
      <c r="N7" s="172">
        <v>2016</v>
      </c>
      <c r="O7" s="173">
        <v>2017</v>
      </c>
    </row>
    <row r="8" spans="2:15" ht="15.6" x14ac:dyDescent="0.35">
      <c r="B8" s="9"/>
      <c r="C8" s="162" t="s">
        <v>215</v>
      </c>
      <c r="D8" s="150" t="s">
        <v>213</v>
      </c>
      <c r="E8" s="150" t="s">
        <v>214</v>
      </c>
      <c r="F8" s="22">
        <f>+OM_EF_2008!$C$6</f>
        <v>5360464.508835</v>
      </c>
      <c r="G8" s="22">
        <f>+OM_EF_2009!$C$6</f>
        <v>5632658.0872996207</v>
      </c>
      <c r="H8" s="22">
        <f>+OM_EF_2010!$C$6</f>
        <v>6085440.8650679979</v>
      </c>
      <c r="I8" s="22">
        <f>+OM_EF_2011!$C$6</f>
        <v>6592941.5332300002</v>
      </c>
      <c r="J8" s="22">
        <f>+OM_EF_2012!$C$6</f>
        <v>6861925.925946651</v>
      </c>
      <c r="K8" s="22">
        <f>+OM_EF_2013!$C$6</f>
        <v>7286833.0360245043</v>
      </c>
      <c r="L8" s="22">
        <f>+OM_EF_2014!$C$6</f>
        <v>7743488.7027113661</v>
      </c>
      <c r="M8" s="22">
        <f>+OM_EF_2015!$C$6</f>
        <v>8248316.8230674472</v>
      </c>
      <c r="N8" s="22">
        <f>+OM_EF_2016!$C$6</f>
        <v>8669522.2586782202</v>
      </c>
      <c r="O8" s="163">
        <f>+OM_EF_2017!$C$6</f>
        <v>8891442.873232197</v>
      </c>
    </row>
    <row r="9" spans="2:15" ht="15.6" x14ac:dyDescent="0.35">
      <c r="B9" s="9"/>
      <c r="C9" s="162" t="s">
        <v>217</v>
      </c>
      <c r="D9" s="151" t="s">
        <v>210</v>
      </c>
      <c r="E9" s="150" t="s">
        <v>211</v>
      </c>
      <c r="F9" s="161">
        <f>+OM_EF_2008!$C$12</f>
        <v>0.34053725577278143</v>
      </c>
      <c r="G9" s="161">
        <f>+OM_EF_2009!$C$17</f>
        <v>0.35836905522484996</v>
      </c>
      <c r="H9" s="161">
        <f>+OM_EF_2010!$C$17</f>
        <v>0.3890598651268462</v>
      </c>
      <c r="I9" s="161">
        <f>+OM_EF_2011!$C$17</f>
        <v>0.38881636387976309</v>
      </c>
      <c r="J9" s="161">
        <f>+OM_EF_2012!$C$17</f>
        <v>0.41061499921819916</v>
      </c>
      <c r="K9" s="161">
        <f>+OM_EF_2013!$C$17</f>
        <v>0.38133374857362462</v>
      </c>
      <c r="L9" s="161">
        <f>+OM_EF_2014!$C$17</f>
        <v>0.41673904967390796</v>
      </c>
      <c r="M9" s="161">
        <f>+OM_EF_2015!$C$17</f>
        <v>0.39789914864278025</v>
      </c>
      <c r="N9" s="161">
        <f>+OM_EF_2016!$C$17</f>
        <v>0.46455989911712259</v>
      </c>
      <c r="O9" s="164">
        <f>+OM_EF_2017!$C$17</f>
        <v>0.42261392631992878</v>
      </c>
    </row>
    <row r="10" spans="2:15" ht="15.6" x14ac:dyDescent="0.35">
      <c r="B10" s="9"/>
      <c r="C10" s="162" t="s">
        <v>218</v>
      </c>
      <c r="D10" s="151" t="s">
        <v>212</v>
      </c>
      <c r="E10" s="150" t="s">
        <v>211</v>
      </c>
      <c r="F10" s="150"/>
      <c r="G10" s="150"/>
      <c r="H10" s="161">
        <f>+(F8*F9+G8*G9+H8*H9)/SUM(F8:H8)</f>
        <v>0.36370793404069995</v>
      </c>
      <c r="I10" s="150"/>
      <c r="J10" s="150"/>
      <c r="K10" s="150"/>
      <c r="L10" s="150"/>
      <c r="M10" s="150"/>
      <c r="N10" s="150"/>
      <c r="O10" s="164"/>
    </row>
    <row r="11" spans="2:15" ht="15.6" x14ac:dyDescent="0.35">
      <c r="B11" s="9"/>
      <c r="C11" s="162" t="s">
        <v>219</v>
      </c>
      <c r="D11" s="150" t="s">
        <v>216</v>
      </c>
      <c r="E11" s="150" t="s">
        <v>211</v>
      </c>
      <c r="F11" s="150"/>
      <c r="G11" s="150"/>
      <c r="H11" s="161">
        <f>+BM_EF_2010!I13</f>
        <v>0.5526805008028538</v>
      </c>
      <c r="I11" s="150"/>
      <c r="J11" s="150"/>
      <c r="K11" s="150"/>
      <c r="L11" s="150"/>
      <c r="M11" s="150"/>
      <c r="N11" s="150"/>
      <c r="O11" s="164"/>
    </row>
    <row r="12" spans="2:15" ht="15.6" x14ac:dyDescent="0.35">
      <c r="B12" s="9"/>
      <c r="C12" s="165" t="s">
        <v>227</v>
      </c>
      <c r="D12" s="160" t="s">
        <v>268</v>
      </c>
      <c r="E12" s="152" t="s">
        <v>211</v>
      </c>
      <c r="F12" s="152"/>
      <c r="G12" s="152"/>
      <c r="H12" s="266">
        <f>+H10*$E$17+H11*$E$18</f>
        <v>0.41095107573123846</v>
      </c>
      <c r="I12" s="152"/>
      <c r="J12" s="152"/>
      <c r="K12" s="152"/>
      <c r="L12" s="152"/>
      <c r="M12" s="152"/>
      <c r="N12" s="152"/>
      <c r="O12" s="166"/>
    </row>
    <row r="13" spans="2:15" ht="16.2" thickBot="1" x14ac:dyDescent="0.4">
      <c r="B13" s="9"/>
      <c r="C13" s="167" t="s">
        <v>228</v>
      </c>
      <c r="D13" s="168" t="s">
        <v>268</v>
      </c>
      <c r="E13" s="169" t="s">
        <v>211</v>
      </c>
      <c r="F13" s="169"/>
      <c r="G13" s="169"/>
      <c r="H13" s="267">
        <f>+H10*$E$20+H11*$E$21</f>
        <v>0.45819421742177691</v>
      </c>
      <c r="I13" s="169"/>
      <c r="J13" s="169"/>
      <c r="K13" s="169"/>
      <c r="L13" s="169"/>
      <c r="M13" s="169"/>
      <c r="N13" s="169"/>
      <c r="O13" s="170"/>
    </row>
    <row r="14" spans="2:15" ht="15" thickBot="1" x14ac:dyDescent="0.35">
      <c r="B14" s="9"/>
      <c r="C14" s="9"/>
      <c r="D14" s="9"/>
      <c r="E14" s="9"/>
    </row>
    <row r="15" spans="2:15" x14ac:dyDescent="0.3">
      <c r="C15" s="156" t="s">
        <v>226</v>
      </c>
      <c r="D15" s="153"/>
      <c r="E15" s="136"/>
    </row>
    <row r="16" spans="2:15" x14ac:dyDescent="0.3">
      <c r="C16" s="159" t="s">
        <v>220</v>
      </c>
      <c r="D16" s="139"/>
      <c r="E16" s="141"/>
    </row>
    <row r="17" spans="3:28" ht="18" x14ac:dyDescent="0.35">
      <c r="C17" s="157" t="s">
        <v>223</v>
      </c>
      <c r="D17" s="139" t="s">
        <v>221</v>
      </c>
      <c r="E17" s="141">
        <v>0.75</v>
      </c>
    </row>
    <row r="18" spans="3:28" ht="18" x14ac:dyDescent="0.35">
      <c r="C18" s="157" t="s">
        <v>224</v>
      </c>
      <c r="D18" s="139" t="s">
        <v>222</v>
      </c>
      <c r="E18" s="141">
        <v>0.25</v>
      </c>
    </row>
    <row r="19" spans="3:28" x14ac:dyDescent="0.3">
      <c r="C19" s="159" t="s">
        <v>225</v>
      </c>
      <c r="D19" s="139"/>
      <c r="E19" s="141"/>
    </row>
    <row r="20" spans="3:28" ht="18" x14ac:dyDescent="0.35">
      <c r="C20" s="157" t="s">
        <v>223</v>
      </c>
      <c r="D20" s="139" t="s">
        <v>221</v>
      </c>
      <c r="E20" s="141">
        <v>0.5</v>
      </c>
    </row>
    <row r="21" spans="3:28" ht="18.600000000000001" thickBot="1" x14ac:dyDescent="0.4">
      <c r="C21" s="158" t="s">
        <v>224</v>
      </c>
      <c r="D21" s="154" t="s">
        <v>222</v>
      </c>
      <c r="E21" s="155">
        <v>0.5</v>
      </c>
    </row>
    <row r="23" spans="3:28" ht="18" x14ac:dyDescent="0.35">
      <c r="C23" s="516" t="s">
        <v>530</v>
      </c>
      <c r="D23" s="9"/>
      <c r="E23" s="9"/>
    </row>
    <row r="24" spans="3:28" ht="15" thickBot="1" x14ac:dyDescent="0.35">
      <c r="C24" s="9"/>
      <c r="D24" s="9"/>
      <c r="E24" s="9"/>
      <c r="O24" s="9"/>
    </row>
    <row r="25" spans="3:28" ht="15.6" x14ac:dyDescent="0.3">
      <c r="C25" s="171" t="s">
        <v>271</v>
      </c>
      <c r="D25" s="172" t="s">
        <v>270</v>
      </c>
      <c r="E25" s="172" t="s">
        <v>269</v>
      </c>
      <c r="F25" s="172">
        <v>2008</v>
      </c>
      <c r="G25" s="172">
        <v>2009</v>
      </c>
      <c r="H25" s="173">
        <v>2010</v>
      </c>
      <c r="I25" s="172">
        <v>2011</v>
      </c>
      <c r="J25" s="172">
        <v>2012</v>
      </c>
      <c r="K25" s="172">
        <v>2013</v>
      </c>
      <c r="L25" s="172">
        <v>2014</v>
      </c>
      <c r="M25" s="172">
        <v>2015</v>
      </c>
      <c r="N25" s="172">
        <v>2016</v>
      </c>
      <c r="O25" s="172">
        <v>2017</v>
      </c>
      <c r="P25" s="172">
        <v>2018</v>
      </c>
      <c r="Q25" s="172">
        <v>2019</v>
      </c>
      <c r="R25" s="172">
        <v>2020</v>
      </c>
      <c r="S25" s="172">
        <v>2021</v>
      </c>
      <c r="T25" s="172">
        <v>2022</v>
      </c>
      <c r="U25" s="172">
        <v>2023</v>
      </c>
      <c r="V25" s="172">
        <v>2024</v>
      </c>
      <c r="W25" s="172">
        <v>2025</v>
      </c>
      <c r="X25" s="172">
        <v>2026</v>
      </c>
      <c r="Y25" s="172">
        <v>2027</v>
      </c>
      <c r="Z25" s="172">
        <v>2028</v>
      </c>
      <c r="AA25" s="172">
        <v>2029</v>
      </c>
      <c r="AB25" s="173">
        <v>2030</v>
      </c>
    </row>
    <row r="26" spans="3:28" ht="15.6" x14ac:dyDescent="0.35">
      <c r="C26" s="162" t="s">
        <v>215</v>
      </c>
      <c r="D26" s="150" t="s">
        <v>213</v>
      </c>
      <c r="E26" s="150" t="s">
        <v>214</v>
      </c>
      <c r="F26" s="22">
        <f>+OM_EF_2008!$C$6</f>
        <v>5360464.508835</v>
      </c>
      <c r="G26" s="22">
        <f>+OM_EF_2009!$C$6</f>
        <v>5632658.0872996207</v>
      </c>
      <c r="H26" s="22">
        <f>+OM_EF_2010!$C$6</f>
        <v>6085440.8650679979</v>
      </c>
      <c r="I26" s="22">
        <f>+OM_EF_2011!$C$6</f>
        <v>6592941.5332300002</v>
      </c>
      <c r="J26" s="22">
        <f>+OM_EF_2012!$C$6</f>
        <v>6861925.925946651</v>
      </c>
      <c r="K26" s="22">
        <f>+OM_EF_2013!$C$6</f>
        <v>7286833.0360245043</v>
      </c>
      <c r="L26" s="22">
        <f>+OM_EF_2014!$C$6</f>
        <v>7743488.7027113661</v>
      </c>
      <c r="M26" s="22">
        <f>+OM_EF_2015!$C$6</f>
        <v>8248316.8230674472</v>
      </c>
      <c r="N26" s="22">
        <f>+OM_EF_2016!$C$6</f>
        <v>8669522.2586782202</v>
      </c>
      <c r="O26" s="22">
        <f>+OM_EF_2017!$C$6</f>
        <v>8891442.873232197</v>
      </c>
      <c r="P26" s="22">
        <f>+Scenario_Current_Demand!O12</f>
        <v>9475504.2714120056</v>
      </c>
      <c r="Q26" s="22">
        <f>+Scenario_Current_Demand!P12</f>
        <v>10272542.997405021</v>
      </c>
      <c r="R26" s="22">
        <f>+Scenario_Current_Demand!Q12</f>
        <v>11094235.451978354</v>
      </c>
      <c r="S26" s="22">
        <f>+Scenario_Current_Demand!R12</f>
        <v>12258198.966666665</v>
      </c>
      <c r="T26" s="22">
        <f>+Scenario_Current_Demand!S12</f>
        <v>13030525.039583333</v>
      </c>
      <c r="U26" s="22">
        <f>+Scenario_Current_Demand!T12</f>
        <v>13845837.539583335</v>
      </c>
      <c r="V26" s="22">
        <f>+Scenario_Current_Demand!U12</f>
        <v>14707379.206249999</v>
      </c>
      <c r="W26" s="22">
        <f>+Scenario_Current_Demand!V12</f>
        <v>15617618.789583329</v>
      </c>
      <c r="X26" s="22">
        <f>+Scenario_Current_Demand!W12</f>
        <v>16579097.956250001</v>
      </c>
      <c r="Y26" s="22">
        <f>+Scenario_Current_Demand!X12</f>
        <v>17594545.872916669</v>
      </c>
      <c r="Z26" s="22">
        <f>+Scenario_Current_Demand!Y12</f>
        <v>18666816.706250004</v>
      </c>
      <c r="AA26" s="22">
        <f>+Scenario_Current_Demand!Z12</f>
        <v>19798900.039583337</v>
      </c>
      <c r="AB26" s="163">
        <f>+Scenario_Current_Demand!AA12</f>
        <v>20993983.372916665</v>
      </c>
    </row>
    <row r="27" spans="3:28" ht="16.2" thickBot="1" x14ac:dyDescent="0.4">
      <c r="C27" s="517" t="s">
        <v>217</v>
      </c>
      <c r="D27" s="518" t="s">
        <v>210</v>
      </c>
      <c r="E27" s="519" t="s">
        <v>211</v>
      </c>
      <c r="F27" s="520">
        <f>+OM_EF_2008!$C$12</f>
        <v>0.34053725577278143</v>
      </c>
      <c r="G27" s="520">
        <f>+OM_EF_2009!$C$17</f>
        <v>0.35836905522484996</v>
      </c>
      <c r="H27" s="520">
        <f>+OM_EF_2010!$C$17</f>
        <v>0.3890598651268462</v>
      </c>
      <c r="I27" s="520">
        <f>+OM_EF_2011!$C$17</f>
        <v>0.38881636387976309</v>
      </c>
      <c r="J27" s="520">
        <f>+OM_EF_2012!$C$17</f>
        <v>0.41061499921819916</v>
      </c>
      <c r="K27" s="520">
        <f>+OM_EF_2013!$C$17</f>
        <v>0.38133374857362462</v>
      </c>
      <c r="L27" s="520">
        <f>+OM_EF_2014!$C$17</f>
        <v>0.41673904967390796</v>
      </c>
      <c r="M27" s="520">
        <f>+OM_EF_2015!$C$17</f>
        <v>0.39789914864278025</v>
      </c>
      <c r="N27" s="520">
        <f>+OM_EF_2016!$C$17</f>
        <v>0.46455989911712259</v>
      </c>
      <c r="O27" s="520">
        <f>+OM_EF_2017!$C$17</f>
        <v>0.42261392631992878</v>
      </c>
      <c r="P27" s="520">
        <f>+Scenario_Current_Demand!O20</f>
        <v>0.37922468079458244</v>
      </c>
      <c r="Q27" s="520">
        <f>+Scenario_Current_Demand!P20</f>
        <v>0.25220416966825393</v>
      </c>
      <c r="R27" s="520">
        <f>+Scenario_Current_Demand!Q20</f>
        <v>0.24246080367599696</v>
      </c>
      <c r="S27" s="520">
        <f>+Scenario_Current_Demand!R20</f>
        <v>0.1839833027640673</v>
      </c>
      <c r="T27" s="520">
        <f>+Scenario_Current_Demand!S20</f>
        <v>0.19570253054609138</v>
      </c>
      <c r="U27" s="520">
        <f>+Scenario_Current_Demand!T20</f>
        <v>0.20665544850483192</v>
      </c>
      <c r="V27" s="520">
        <f>+Scenario_Current_Demand!U20</f>
        <v>0.21690981050531055</v>
      </c>
      <c r="W27" s="520">
        <f>+Scenario_Current_Demand!V20</f>
        <v>0.22706075470131476</v>
      </c>
      <c r="X27" s="520">
        <f>+Scenario_Current_Demand!W20</f>
        <v>0.24310236456761447</v>
      </c>
      <c r="Y27" s="520">
        <f>+Scenario_Current_Demand!X20</f>
        <v>0.26259143501623383</v>
      </c>
      <c r="Z27" s="520">
        <f>+Scenario_Current_Demand!Y20</f>
        <v>0.28411956820898421</v>
      </c>
      <c r="AA27" s="520">
        <f>+Scenario_Current_Demand!Z20</f>
        <v>0.26918908986001283</v>
      </c>
      <c r="AB27" s="521">
        <f>+Scenario_Current_Demand!AA20</f>
        <v>0.27848853477706198</v>
      </c>
    </row>
    <row r="29" spans="3:28" ht="18" x14ac:dyDescent="0.35">
      <c r="C29" s="516" t="s">
        <v>531</v>
      </c>
      <c r="D29" s="9"/>
      <c r="E29" s="9"/>
    </row>
    <row r="30" spans="3:28" ht="15" thickBot="1" x14ac:dyDescent="0.35">
      <c r="C30" s="9"/>
      <c r="D30" s="9"/>
      <c r="E30" s="9"/>
      <c r="O30" s="9"/>
    </row>
    <row r="31" spans="3:28" ht="15.6" x14ac:dyDescent="0.3">
      <c r="C31" s="171" t="s">
        <v>271</v>
      </c>
      <c r="D31" s="172" t="s">
        <v>270</v>
      </c>
      <c r="E31" s="172" t="s">
        <v>269</v>
      </c>
      <c r="F31" s="172">
        <v>2008</v>
      </c>
      <c r="G31" s="172">
        <v>2009</v>
      </c>
      <c r="H31" s="172">
        <v>2010</v>
      </c>
      <c r="I31" s="172">
        <v>2011</v>
      </c>
      <c r="J31" s="172">
        <v>2012</v>
      </c>
      <c r="K31" s="172">
        <v>2013</v>
      </c>
      <c r="L31" s="172">
        <v>2014</v>
      </c>
      <c r="M31" s="172">
        <v>2015</v>
      </c>
      <c r="N31" s="172">
        <v>2016</v>
      </c>
      <c r="O31" s="172">
        <v>2017</v>
      </c>
      <c r="P31" s="172">
        <v>2018</v>
      </c>
      <c r="Q31" s="172">
        <v>2019</v>
      </c>
      <c r="R31" s="172">
        <v>2020</v>
      </c>
      <c r="S31" s="172">
        <v>2021</v>
      </c>
      <c r="T31" s="172">
        <v>2022</v>
      </c>
      <c r="U31" s="172">
        <v>2023</v>
      </c>
      <c r="V31" s="172">
        <v>2024</v>
      </c>
      <c r="W31" s="172">
        <v>2025</v>
      </c>
      <c r="X31" s="172">
        <v>2026</v>
      </c>
      <c r="Y31" s="172">
        <v>2027</v>
      </c>
      <c r="Z31" s="172">
        <v>2028</v>
      </c>
      <c r="AA31" s="172">
        <v>2029</v>
      </c>
      <c r="AB31" s="173">
        <v>2030</v>
      </c>
    </row>
    <row r="32" spans="3:28" ht="15.6" x14ac:dyDescent="0.35">
      <c r="C32" s="162" t="s">
        <v>215</v>
      </c>
      <c r="D32" s="150" t="s">
        <v>213</v>
      </c>
      <c r="E32" s="150" t="s">
        <v>214</v>
      </c>
      <c r="F32" s="22">
        <f>+OM_EF_2008!$C$6</f>
        <v>5360464.508835</v>
      </c>
      <c r="G32" s="22">
        <f>+OM_EF_2009!$C$6</f>
        <v>5632658.0872996207</v>
      </c>
      <c r="H32" s="22">
        <f>+OM_EF_2010!$C$6</f>
        <v>6085440.8650679979</v>
      </c>
      <c r="I32" s="22">
        <f>+OM_EF_2011!$C$6</f>
        <v>6592941.5332300002</v>
      </c>
      <c r="J32" s="22">
        <f>+OM_EF_2012!$C$6</f>
        <v>6861925.925946651</v>
      </c>
      <c r="K32" s="22">
        <f>+OM_EF_2013!$C$6</f>
        <v>7286833.0360245043</v>
      </c>
      <c r="L32" s="22">
        <f>+OM_EF_2014!$C$6</f>
        <v>7743488.7027113661</v>
      </c>
      <c r="M32" s="22">
        <f>+OM_EF_2015!$C$6</f>
        <v>8248316.8230674472</v>
      </c>
      <c r="N32" s="22">
        <f>+OM_EF_2016!$C$6</f>
        <v>8669522.2586782202</v>
      </c>
      <c r="O32" s="22">
        <f>+OM_EF_2017!$C$6</f>
        <v>8891442.873232197</v>
      </c>
      <c r="P32" s="22">
        <f>+Scenario_NDC!O38</f>
        <v>9549855.4570679404</v>
      </c>
      <c r="Q32" s="22">
        <f>+Scenario_NDC!P38</f>
        <v>12726694.191623498</v>
      </c>
      <c r="R32" s="22">
        <f>+Scenario_NDC!Q38</f>
        <v>20759867.119263519</v>
      </c>
      <c r="S32" s="22">
        <f>+Scenario_NDC!R38</f>
        <v>23042112.006337687</v>
      </c>
      <c r="T32" s="22">
        <f>+Scenario_NDC!S38</f>
        <v>23042112.006337687</v>
      </c>
      <c r="U32" s="22">
        <f>+Scenario_NDC!T38</f>
        <v>23786712.006337687</v>
      </c>
      <c r="V32" s="22">
        <f>+Scenario_NDC!U38</f>
        <v>23786712.006337687</v>
      </c>
      <c r="W32" s="22">
        <f>+Scenario_NDC!V38</f>
        <v>29883672.006337687</v>
      </c>
      <c r="X32" s="22">
        <f>+Scenario_NDC!W38</f>
        <v>29883672.006337687</v>
      </c>
      <c r="Y32" s="22">
        <f>+Scenario_NDC!X38</f>
        <v>29883672.006337687</v>
      </c>
      <c r="Z32" s="22">
        <f>+Scenario_NDC!Y38</f>
        <v>29883672.006337687</v>
      </c>
      <c r="AA32" s="22">
        <f>+Scenario_NDC!Z38</f>
        <v>51889185.606337689</v>
      </c>
      <c r="AB32" s="163">
        <f>+Scenario_NDC!AA38</f>
        <v>60514281.606337689</v>
      </c>
    </row>
    <row r="33" spans="3:28" ht="16.2" thickBot="1" x14ac:dyDescent="0.4">
      <c r="C33" s="517" t="s">
        <v>217</v>
      </c>
      <c r="D33" s="518" t="s">
        <v>210</v>
      </c>
      <c r="E33" s="519" t="s">
        <v>211</v>
      </c>
      <c r="F33" s="520">
        <f>+OM_EF_2008!$C$12</f>
        <v>0.34053725577278143</v>
      </c>
      <c r="G33" s="520">
        <f>+OM_EF_2009!$C$17</f>
        <v>0.35836905522484996</v>
      </c>
      <c r="H33" s="520">
        <f>+OM_EF_2010!$C$17</f>
        <v>0.3890598651268462</v>
      </c>
      <c r="I33" s="520">
        <f>+OM_EF_2011!$C$17</f>
        <v>0.38881636387976309</v>
      </c>
      <c r="J33" s="520">
        <f>+OM_EF_2012!$C$17</f>
        <v>0.41061499921819916</v>
      </c>
      <c r="K33" s="520">
        <f>+OM_EF_2013!$C$17</f>
        <v>0.38133374857362462</v>
      </c>
      <c r="L33" s="520">
        <f>+OM_EF_2014!$C$17</f>
        <v>0.41673904967390796</v>
      </c>
      <c r="M33" s="520">
        <f>+OM_EF_2015!$C$17</f>
        <v>0.39789914864278025</v>
      </c>
      <c r="N33" s="520">
        <f>+OM_EF_2016!$C$17</f>
        <v>0.46455989911712259</v>
      </c>
      <c r="O33" s="520">
        <f>+OM_EF_2017!$C$17</f>
        <v>0.42261392631992878</v>
      </c>
      <c r="P33" s="520">
        <f>+Scenario_NDC!O47</f>
        <v>0.38211324773885369</v>
      </c>
      <c r="Q33" s="520">
        <f>+Scenario_NDC!P47</f>
        <v>0.36899911379814609</v>
      </c>
      <c r="R33" s="520">
        <f>+Scenario_NDC!Q47</f>
        <v>0.32068350652841604</v>
      </c>
      <c r="S33" s="520">
        <f>+Scenario_NDC!R47</f>
        <v>0.28829527376671371</v>
      </c>
      <c r="T33" s="520">
        <f>+Scenario_NDC!S47</f>
        <v>0.28829527376671371</v>
      </c>
      <c r="U33" s="520">
        <f>+Scenario_NDC!T47</f>
        <v>0.27927071161665695</v>
      </c>
      <c r="V33" s="520">
        <f>+Scenario_NDC!U47</f>
        <v>0.27927071161665695</v>
      </c>
      <c r="W33" s="520">
        <f>+Scenario_NDC!V47</f>
        <v>0.22229302970604081</v>
      </c>
      <c r="X33" s="520">
        <f>+Scenario_NDC!W47</f>
        <v>0.22229302970604081</v>
      </c>
      <c r="Y33" s="520">
        <f>+Scenario_NDC!X47</f>
        <v>0.22229302970604081</v>
      </c>
      <c r="Z33" s="520">
        <f>+Scenario_NDC!Y47</f>
        <v>0.22229302970604081</v>
      </c>
      <c r="AA33" s="520">
        <f>+Scenario_NDC!Z47</f>
        <v>0.12802151183153362</v>
      </c>
      <c r="AB33" s="521">
        <f>+Scenario_NDC!AA47</f>
        <v>0.10977461539152911</v>
      </c>
    </row>
    <row r="35" spans="3:28" ht="18" x14ac:dyDescent="0.35">
      <c r="C35" s="516" t="s">
        <v>532</v>
      </c>
      <c r="D35" s="9"/>
      <c r="E35" s="9"/>
    </row>
    <row r="36" spans="3:28" ht="15" thickBot="1" x14ac:dyDescent="0.35">
      <c r="C36" s="9"/>
      <c r="D36" s="9"/>
      <c r="E36" s="9"/>
      <c r="O36" s="9"/>
    </row>
    <row r="37" spans="3:28" ht="15.6" x14ac:dyDescent="0.3">
      <c r="C37" s="171" t="s">
        <v>271</v>
      </c>
      <c r="D37" s="172" t="s">
        <v>270</v>
      </c>
      <c r="E37" s="172" t="s">
        <v>269</v>
      </c>
      <c r="F37" s="172">
        <v>2008</v>
      </c>
      <c r="G37" s="172">
        <v>2009</v>
      </c>
      <c r="H37" s="172">
        <v>2010</v>
      </c>
      <c r="I37" s="172">
        <v>2011</v>
      </c>
      <c r="J37" s="172">
        <v>2012</v>
      </c>
      <c r="K37" s="172">
        <v>2013</v>
      </c>
      <c r="L37" s="172">
        <v>2014</v>
      </c>
      <c r="M37" s="172">
        <v>2015</v>
      </c>
      <c r="N37" s="172">
        <v>2016</v>
      </c>
      <c r="O37" s="172">
        <v>2017</v>
      </c>
      <c r="P37" s="172">
        <v>2018</v>
      </c>
      <c r="Q37" s="172">
        <v>2019</v>
      </c>
      <c r="R37" s="172">
        <v>2020</v>
      </c>
      <c r="S37" s="172">
        <v>2021</v>
      </c>
      <c r="T37" s="172">
        <v>2022</v>
      </c>
      <c r="U37" s="172">
        <v>2023</v>
      </c>
      <c r="V37" s="172">
        <v>2024</v>
      </c>
      <c r="W37" s="172">
        <v>2025</v>
      </c>
      <c r="X37" s="172">
        <v>2026</v>
      </c>
      <c r="Y37" s="172">
        <v>2027</v>
      </c>
      <c r="Z37" s="172">
        <v>2028</v>
      </c>
      <c r="AA37" s="172">
        <v>2029</v>
      </c>
      <c r="AB37" s="173">
        <v>2030</v>
      </c>
    </row>
    <row r="38" spans="3:28" ht="15.6" x14ac:dyDescent="0.35">
      <c r="C38" s="162" t="s">
        <v>215</v>
      </c>
      <c r="D38" s="150" t="s">
        <v>213</v>
      </c>
      <c r="E38" s="150" t="s">
        <v>214</v>
      </c>
      <c r="F38" s="22">
        <f>+OM_EF_2008!$C$6</f>
        <v>5360464.508835</v>
      </c>
      <c r="G38" s="22">
        <f>+OM_EF_2009!$C$6</f>
        <v>5632658.0872996207</v>
      </c>
      <c r="H38" s="22">
        <f>+OM_EF_2010!$C$6</f>
        <v>6085440.8650679979</v>
      </c>
      <c r="I38" s="22">
        <f>+OM_EF_2011!$C$6</f>
        <v>6592941.5332300002</v>
      </c>
      <c r="J38" s="22">
        <f>+OM_EF_2012!$C$6</f>
        <v>6861925.925946651</v>
      </c>
      <c r="K38" s="22">
        <f>+OM_EF_2013!$C$6</f>
        <v>7286833.0360245043</v>
      </c>
      <c r="L38" s="22">
        <f>+OM_EF_2014!$C$6</f>
        <v>7743488.7027113661</v>
      </c>
      <c r="M38" s="22">
        <f>+OM_EF_2015!$C$6</f>
        <v>8248316.8230674472</v>
      </c>
      <c r="N38" s="22">
        <f>+OM_EF_2016!$C$6</f>
        <v>8669522.2586782202</v>
      </c>
      <c r="O38" s="22">
        <f>+OM_EF_2017!$C$6</f>
        <v>8891442.873232197</v>
      </c>
      <c r="P38" s="22">
        <f>+'Scenario_100%_RE'!O38</f>
        <v>9549855.4570679404</v>
      </c>
      <c r="Q38" s="22">
        <f>+'Scenario_100%_RE'!P38</f>
        <v>10217479.791623497</v>
      </c>
      <c r="R38" s="22">
        <f>+'Scenario_100%_RE'!Q38</f>
        <v>12491293.393663254</v>
      </c>
      <c r="S38" s="22">
        <f>+'Scenario_100%_RE'!R38</f>
        <v>14744424.482910259</v>
      </c>
      <c r="T38" s="22">
        <f>+'Scenario_100%_RE'!S38</f>
        <v>14776852.148918491</v>
      </c>
      <c r="U38" s="22">
        <f>+'Scenario_100%_RE'!T38</f>
        <v>15509538.304188725</v>
      </c>
      <c r="V38" s="22">
        <f>+'Scenario_100%_RE'!U38</f>
        <v>15506671.645339157</v>
      </c>
      <c r="W38" s="22">
        <f>+'Scenario_100%_RE'!V38</f>
        <v>19215526.627007123</v>
      </c>
      <c r="X38" s="22">
        <f>+'Scenario_100%_RE'!W38</f>
        <v>19212560.588306114</v>
      </c>
      <c r="Y38" s="22">
        <f>+'Scenario_100%_RE'!X38</f>
        <v>19212577.151614688</v>
      </c>
      <c r="Z38" s="22">
        <f>+'Scenario_100%_RE'!Y38</f>
        <v>19213554.788975973</v>
      </c>
      <c r="AA38" s="22">
        <f>+'Scenario_100%_RE'!Z38</f>
        <v>37975048.194992095</v>
      </c>
      <c r="AB38" s="163">
        <f>+'Scenario_100%_RE'!AA38</f>
        <v>46600144.194992095</v>
      </c>
    </row>
    <row r="39" spans="3:28" ht="16.2" thickBot="1" x14ac:dyDescent="0.4">
      <c r="C39" s="517" t="s">
        <v>217</v>
      </c>
      <c r="D39" s="518" t="s">
        <v>210</v>
      </c>
      <c r="E39" s="519" t="s">
        <v>211</v>
      </c>
      <c r="F39" s="520">
        <f>+OM_EF_2008!$C$12</f>
        <v>0.34053725577278143</v>
      </c>
      <c r="G39" s="520">
        <f>+OM_EF_2009!$C$17</f>
        <v>0.35836905522484996</v>
      </c>
      <c r="H39" s="520">
        <f>+OM_EF_2010!$C$17</f>
        <v>0.3890598651268462</v>
      </c>
      <c r="I39" s="520">
        <f>+OM_EF_2011!$C$17</f>
        <v>0.38881636387976309</v>
      </c>
      <c r="J39" s="520">
        <f>+OM_EF_2012!$C$17</f>
        <v>0.41061499921819916</v>
      </c>
      <c r="K39" s="520">
        <f>+OM_EF_2013!$C$17</f>
        <v>0.38133374857362462</v>
      </c>
      <c r="L39" s="520">
        <f>+OM_EF_2014!$C$17</f>
        <v>0.41673904967390796</v>
      </c>
      <c r="M39" s="520">
        <f>+OM_EF_2015!$C$17</f>
        <v>0.39789914864278025</v>
      </c>
      <c r="N39" s="520">
        <f>+OM_EF_2016!$C$17</f>
        <v>0.46455989911712259</v>
      </c>
      <c r="O39" s="520">
        <f>+OM_EF_2017!$C$17</f>
        <v>0.42261392631992878</v>
      </c>
      <c r="P39" s="520">
        <f>+'Scenario_100%_RE'!O47</f>
        <v>0.38211324773885369</v>
      </c>
      <c r="Q39" s="520">
        <f>+'Scenario_100%_RE'!P47</f>
        <v>0.36587813723755713</v>
      </c>
      <c r="R39" s="520">
        <f>+'Scenario_100%_RE'!Q47</f>
        <v>0.25059805059026524</v>
      </c>
      <c r="S39" s="520">
        <f>+'Scenario_100%_RE'!R47</f>
        <v>0.21026199790674616</v>
      </c>
      <c r="T39" s="520">
        <f>+'Scenario_100%_RE'!S47</f>
        <v>0.21098388129331927</v>
      </c>
      <c r="U39" s="520">
        <f>+'Scenario_100%_RE'!T47</f>
        <v>0.20060232970488617</v>
      </c>
      <c r="V39" s="520">
        <f>+'Scenario_100%_RE'!U47</f>
        <v>0.20053990306616795</v>
      </c>
      <c r="W39" s="520">
        <f>+'Scenario_100%_RE'!V47</f>
        <v>8.9362677422468673E-2</v>
      </c>
      <c r="X39" s="520">
        <f>+'Scenario_100%_RE'!W47</f>
        <v>8.9293198478340233E-2</v>
      </c>
      <c r="Y39" s="520">
        <f>+'Scenario_100%_RE'!X47</f>
        <v>8.9293614523568862E-2</v>
      </c>
      <c r="Z39" s="520">
        <f>+'Scenario_100%_RE'!Y47</f>
        <v>8.9316499177884937E-2</v>
      </c>
      <c r="AA39" s="520">
        <f>+'Scenario_100%_RE'!Z47</f>
        <v>0</v>
      </c>
      <c r="AB39" s="521">
        <f>+'Scenario_100%_RE'!AA47</f>
        <v>0</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6633"/>
  </sheetPr>
  <dimension ref="B3:AC347"/>
  <sheetViews>
    <sheetView topLeftCell="C19" zoomScale="70" zoomScaleNormal="70" workbookViewId="0">
      <selection activeCell="O38" sqref="O38:AA38"/>
    </sheetView>
  </sheetViews>
  <sheetFormatPr baseColWidth="10" defaultColWidth="9.109375" defaultRowHeight="14.4" x14ac:dyDescent="0.3"/>
  <cols>
    <col min="1" max="1" width="9.109375" style="1"/>
    <col min="2" max="2" width="54.33203125" style="1" customWidth="1"/>
    <col min="3" max="3" width="15.33203125" style="1" customWidth="1"/>
    <col min="4" max="4" width="12.6640625" style="1" customWidth="1"/>
    <col min="5" max="5" width="17.109375" style="1" customWidth="1"/>
    <col min="6" max="6" width="19.88671875" style="1" customWidth="1"/>
    <col min="7" max="7" width="15" style="1" hidden="1" customWidth="1"/>
    <col min="8" max="8" width="16.5546875" style="1" hidden="1" customWidth="1"/>
    <col min="9" max="9" width="15" style="1" hidden="1" customWidth="1"/>
    <col min="10" max="10" width="16.6640625" style="1" hidden="1" customWidth="1"/>
    <col min="11" max="11" width="15" style="1" hidden="1" customWidth="1"/>
    <col min="12" max="13" width="16" style="1" hidden="1" customWidth="1"/>
    <col min="14" max="14" width="16.6640625" style="1" hidden="1" customWidth="1"/>
    <col min="15" max="15" width="16" style="1" bestFit="1" customWidth="1"/>
    <col min="16" max="17" width="17" style="1" bestFit="1" customWidth="1"/>
    <col min="18" max="19" width="17.33203125" style="1" bestFit="1" customWidth="1"/>
    <col min="20" max="20" width="17" style="1" bestFit="1" customWidth="1"/>
    <col min="21" max="21" width="16.6640625" style="1" bestFit="1" customWidth="1"/>
    <col min="22" max="25" width="17.33203125" style="1" bestFit="1" customWidth="1"/>
    <col min="26" max="26" width="17.88671875" style="1" bestFit="1" customWidth="1"/>
    <col min="27" max="27" width="18" style="1" bestFit="1" customWidth="1"/>
    <col min="28" max="28" width="19.44140625" style="1" bestFit="1" customWidth="1"/>
    <col min="29" max="29" width="12.88671875" style="1" bestFit="1" customWidth="1"/>
    <col min="30" max="30" width="9.109375" style="1"/>
    <col min="31" max="31" width="13.44140625" style="1" bestFit="1" customWidth="1"/>
    <col min="32" max="16384" width="9.109375" style="1"/>
  </cols>
  <sheetData>
    <row r="3" spans="2:29" ht="23.4" x14ac:dyDescent="0.45">
      <c r="B3" s="477" t="s">
        <v>482</v>
      </c>
    </row>
    <row r="6" spans="2:29" x14ac:dyDescent="0.3">
      <c r="B6" s="457"/>
      <c r="C6" s="458"/>
      <c r="D6" s="452" t="s">
        <v>452</v>
      </c>
      <c r="E6" s="440"/>
      <c r="F6" s="440"/>
      <c r="G6" s="381">
        <v>2010</v>
      </c>
      <c r="H6" s="381">
        <v>2011</v>
      </c>
      <c r="I6" s="381">
        <v>2012</v>
      </c>
      <c r="J6" s="381">
        <v>2013</v>
      </c>
      <c r="K6" s="381">
        <v>2014</v>
      </c>
      <c r="L6" s="381">
        <v>2015</v>
      </c>
      <c r="M6" s="381">
        <v>2016</v>
      </c>
      <c r="N6" s="381">
        <v>2017</v>
      </c>
      <c r="O6" s="381">
        <v>2018</v>
      </c>
      <c r="P6" s="381">
        <v>2019</v>
      </c>
      <c r="Q6" s="381">
        <v>2020</v>
      </c>
      <c r="R6" s="381">
        <v>2021</v>
      </c>
      <c r="S6" s="381">
        <v>2022</v>
      </c>
      <c r="T6" s="381">
        <v>2023</v>
      </c>
      <c r="U6" s="381">
        <v>2024</v>
      </c>
      <c r="V6" s="381">
        <v>2025</v>
      </c>
      <c r="W6" s="381">
        <v>2026</v>
      </c>
      <c r="X6" s="381">
        <v>2027</v>
      </c>
      <c r="Y6" s="381">
        <v>2028</v>
      </c>
      <c r="Z6" s="381">
        <v>2029</v>
      </c>
      <c r="AA6" s="381">
        <v>2030</v>
      </c>
    </row>
    <row r="7" spans="2:29" s="37" customFormat="1" x14ac:dyDescent="0.3">
      <c r="B7" s="34"/>
      <c r="C7" s="458"/>
      <c r="D7" s="453" t="s">
        <v>454</v>
      </c>
      <c r="E7" s="443"/>
      <c r="F7" s="443"/>
      <c r="G7" s="404">
        <f t="shared" ref="G7:M7" si="0">G8+G10</f>
        <v>1288.9499999999996</v>
      </c>
      <c r="H7" s="404">
        <f t="shared" si="0"/>
        <v>1288.9499999999996</v>
      </c>
      <c r="I7" s="404">
        <f t="shared" si="0"/>
        <v>1444.7699999999995</v>
      </c>
      <c r="J7" s="404">
        <f t="shared" si="0"/>
        <v>1480.1699999999996</v>
      </c>
      <c r="K7" s="404">
        <f t="shared" si="0"/>
        <v>1719.1199999999997</v>
      </c>
      <c r="L7" s="404">
        <f t="shared" si="0"/>
        <v>1948.1799999999998</v>
      </c>
      <c r="M7" s="404">
        <f t="shared" si="0"/>
        <v>1972.1799999999998</v>
      </c>
      <c r="N7" s="404">
        <f>N8+N10</f>
        <v>2097.1799999999998</v>
      </c>
      <c r="O7" s="404">
        <f t="shared" ref="O7:AA7" si="1">O8+O10</f>
        <v>2217.1799999999998</v>
      </c>
      <c r="P7" s="404">
        <f t="shared" si="1"/>
        <v>2795.3799999999997</v>
      </c>
      <c r="Q7" s="404">
        <f t="shared" si="1"/>
        <v>4697.6399999999994</v>
      </c>
      <c r="R7" s="404">
        <f t="shared" si="1"/>
        <v>5236.84</v>
      </c>
      <c r="S7" s="404">
        <f t="shared" si="1"/>
        <v>5236.84</v>
      </c>
      <c r="T7" s="404">
        <f t="shared" si="1"/>
        <v>5336.84</v>
      </c>
      <c r="U7" s="404">
        <f t="shared" si="1"/>
        <v>5336.84</v>
      </c>
      <c r="V7" s="404">
        <f t="shared" si="1"/>
        <v>6728.84</v>
      </c>
      <c r="W7" s="404">
        <f t="shared" si="1"/>
        <v>6728.84</v>
      </c>
      <c r="X7" s="404">
        <f t="shared" si="1"/>
        <v>6728.84</v>
      </c>
      <c r="Y7" s="404">
        <f t="shared" si="1"/>
        <v>6728.84</v>
      </c>
      <c r="Z7" s="404">
        <f t="shared" si="1"/>
        <v>11230.84</v>
      </c>
      <c r="AA7" s="404">
        <f t="shared" si="1"/>
        <v>13386.84</v>
      </c>
      <c r="AB7" s="37">
        <v>13387</v>
      </c>
      <c r="AC7" s="419">
        <f>AB7-AA7</f>
        <v>0.15999999999985448</v>
      </c>
    </row>
    <row r="8" spans="2:29" s="37" customFormat="1" x14ac:dyDescent="0.3">
      <c r="B8" s="13"/>
      <c r="C8" s="459"/>
      <c r="D8" s="454" t="s">
        <v>453</v>
      </c>
      <c r="E8" s="445"/>
      <c r="F8" s="445"/>
      <c r="G8" s="407">
        <f t="shared" ref="G8:L8" si="2">+H8-H25</f>
        <v>785.6799999999995</v>
      </c>
      <c r="H8" s="407">
        <f t="shared" si="2"/>
        <v>785.6799999999995</v>
      </c>
      <c r="I8" s="407">
        <f t="shared" si="2"/>
        <v>941.49999999999955</v>
      </c>
      <c r="J8" s="407">
        <f t="shared" si="2"/>
        <v>973.89999999999952</v>
      </c>
      <c r="K8" s="407">
        <f t="shared" si="2"/>
        <v>1198.2799999999995</v>
      </c>
      <c r="L8" s="407">
        <f t="shared" si="2"/>
        <v>1419.7399999999996</v>
      </c>
      <c r="M8" s="407">
        <f>+N8-N25</f>
        <v>1419.7399999999996</v>
      </c>
      <c r="N8" s="407">
        <f>OM_EF_2017!D22</f>
        <v>1419.7399999999996</v>
      </c>
      <c r="O8" s="407">
        <f>+N8+O25</f>
        <v>1419.7399999999996</v>
      </c>
      <c r="P8" s="407">
        <f t="shared" ref="P8:AA8" si="3">+O8+P25</f>
        <v>1828.9399999999996</v>
      </c>
      <c r="Q8" s="407">
        <f t="shared" si="3"/>
        <v>3016.2999999999993</v>
      </c>
      <c r="R8" s="407">
        <f t="shared" si="3"/>
        <v>3016.2999999999993</v>
      </c>
      <c r="S8" s="407">
        <f t="shared" si="3"/>
        <v>3016.2999999999993</v>
      </c>
      <c r="T8" s="407">
        <f t="shared" si="3"/>
        <v>3016.2999999999993</v>
      </c>
      <c r="U8" s="407">
        <f t="shared" si="3"/>
        <v>3016.2999999999993</v>
      </c>
      <c r="V8" s="407">
        <f t="shared" si="3"/>
        <v>3016.2999999999993</v>
      </c>
      <c r="W8" s="407">
        <f t="shared" si="3"/>
        <v>3016.2999999999993</v>
      </c>
      <c r="X8" s="407">
        <f t="shared" si="3"/>
        <v>3016.2999999999993</v>
      </c>
      <c r="Y8" s="407">
        <f t="shared" si="3"/>
        <v>3016.2999999999993</v>
      </c>
      <c r="Z8" s="407">
        <f t="shared" si="3"/>
        <v>3016.2999999999993</v>
      </c>
      <c r="AA8" s="407">
        <f t="shared" si="3"/>
        <v>3016.2999999999993</v>
      </c>
    </row>
    <row r="9" spans="2:29" s="37" customFormat="1" x14ac:dyDescent="0.3">
      <c r="B9" s="34"/>
      <c r="C9" s="458"/>
      <c r="D9" s="455" t="s">
        <v>402</v>
      </c>
      <c r="E9" s="447"/>
      <c r="F9" s="447"/>
      <c r="G9" s="413"/>
      <c r="H9" s="413"/>
      <c r="I9" s="413"/>
      <c r="J9" s="413"/>
      <c r="K9" s="413"/>
      <c r="L9" s="413"/>
      <c r="M9" s="413"/>
      <c r="N9" s="412">
        <f>+N8/N7</f>
        <v>0.67697574838592756</v>
      </c>
      <c r="O9" s="412">
        <f t="shared" ref="O9:AA9" si="4">+O8/O7</f>
        <v>0.64033592220748858</v>
      </c>
      <c r="P9" s="412">
        <f t="shared" si="4"/>
        <v>0.65427240661376984</v>
      </c>
      <c r="Q9" s="412">
        <f t="shared" si="4"/>
        <v>0.64208836777615985</v>
      </c>
      <c r="R9" s="412">
        <f t="shared" si="4"/>
        <v>0.57597711597069978</v>
      </c>
      <c r="S9" s="412">
        <f t="shared" si="4"/>
        <v>0.57597711597069978</v>
      </c>
      <c r="T9" s="412">
        <f t="shared" si="4"/>
        <v>0.56518464109847755</v>
      </c>
      <c r="U9" s="412">
        <f t="shared" si="4"/>
        <v>0.56518464109847755</v>
      </c>
      <c r="V9" s="412">
        <f t="shared" si="4"/>
        <v>0.44826448540907488</v>
      </c>
      <c r="W9" s="412">
        <f t="shared" si="4"/>
        <v>0.44826448540907488</v>
      </c>
      <c r="X9" s="412">
        <f t="shared" si="4"/>
        <v>0.44826448540907488</v>
      </c>
      <c r="Y9" s="412">
        <f t="shared" si="4"/>
        <v>0.44826448540907488</v>
      </c>
      <c r="Z9" s="412">
        <f t="shared" si="4"/>
        <v>0.26857296515665785</v>
      </c>
      <c r="AA9" s="412">
        <f t="shared" si="4"/>
        <v>0.22531829767144443</v>
      </c>
    </row>
    <row r="10" spans="2:29" x14ac:dyDescent="0.3">
      <c r="B10" s="13"/>
      <c r="C10" s="459"/>
      <c r="D10" s="454" t="s">
        <v>66</v>
      </c>
      <c r="E10" s="445"/>
      <c r="F10" s="445"/>
      <c r="G10" s="407">
        <f t="shared" ref="G10:M10" si="5">G12+G14+G16+G18+G20</f>
        <v>503.2700000000001</v>
      </c>
      <c r="H10" s="407">
        <f t="shared" si="5"/>
        <v>503.2700000000001</v>
      </c>
      <c r="I10" s="407">
        <f t="shared" si="5"/>
        <v>503.2700000000001</v>
      </c>
      <c r="J10" s="407">
        <f t="shared" si="5"/>
        <v>506.2700000000001</v>
      </c>
      <c r="K10" s="407">
        <f t="shared" si="5"/>
        <v>520.84000000000015</v>
      </c>
      <c r="L10" s="407">
        <f t="shared" si="5"/>
        <v>528.44000000000017</v>
      </c>
      <c r="M10" s="407">
        <f t="shared" si="5"/>
        <v>552.44000000000017</v>
      </c>
      <c r="N10" s="407">
        <f>N12+N14+N16+N18+N20</f>
        <v>677.44000000000017</v>
      </c>
      <c r="O10" s="407">
        <f t="shared" ref="O10:AA10" si="6">O12+O14+O16+O18+O20</f>
        <v>797.44000000000017</v>
      </c>
      <c r="P10" s="407">
        <f t="shared" si="6"/>
        <v>966.44000000000017</v>
      </c>
      <c r="Q10" s="407">
        <f t="shared" si="6"/>
        <v>1681.34</v>
      </c>
      <c r="R10" s="407">
        <f t="shared" si="6"/>
        <v>2220.5400000000004</v>
      </c>
      <c r="S10" s="407">
        <f t="shared" si="6"/>
        <v>2220.5400000000004</v>
      </c>
      <c r="T10" s="407">
        <f t="shared" si="6"/>
        <v>2320.5400000000004</v>
      </c>
      <c r="U10" s="407">
        <f t="shared" si="6"/>
        <v>2320.5400000000004</v>
      </c>
      <c r="V10" s="407">
        <f t="shared" si="6"/>
        <v>3712.5400000000004</v>
      </c>
      <c r="W10" s="407">
        <f t="shared" si="6"/>
        <v>3712.5400000000004</v>
      </c>
      <c r="X10" s="407">
        <f t="shared" si="6"/>
        <v>3712.5400000000004</v>
      </c>
      <c r="Y10" s="407">
        <f t="shared" si="6"/>
        <v>3712.5400000000004</v>
      </c>
      <c r="Z10" s="407">
        <f t="shared" si="6"/>
        <v>8214.5400000000009</v>
      </c>
      <c r="AA10" s="407">
        <f t="shared" si="6"/>
        <v>10370.540000000001</v>
      </c>
    </row>
    <row r="11" spans="2:29" x14ac:dyDescent="0.3">
      <c r="B11" s="34"/>
      <c r="C11" s="459"/>
      <c r="D11" s="455" t="s">
        <v>401</v>
      </c>
      <c r="E11" s="448"/>
      <c r="F11" s="448"/>
      <c r="G11" s="411"/>
      <c r="H11" s="411"/>
      <c r="I11" s="411"/>
      <c r="J11" s="411"/>
      <c r="K11" s="411"/>
      <c r="L11" s="411"/>
      <c r="M11" s="411"/>
      <c r="N11" s="412">
        <f>+N10/N7</f>
        <v>0.32302425161407233</v>
      </c>
      <c r="O11" s="412">
        <f t="shared" ref="O11:AA11" si="7">+O10/O7</f>
        <v>0.35966407779251131</v>
      </c>
      <c r="P11" s="412">
        <f t="shared" si="7"/>
        <v>0.34572759338623021</v>
      </c>
      <c r="Q11" s="412">
        <f t="shared" si="7"/>
        <v>0.35791163222384009</v>
      </c>
      <c r="R11" s="412">
        <f t="shared" si="7"/>
        <v>0.42402288402930016</v>
      </c>
      <c r="S11" s="412">
        <f t="shared" si="7"/>
        <v>0.42402288402930016</v>
      </c>
      <c r="T11" s="412">
        <f t="shared" si="7"/>
        <v>0.43481535890152234</v>
      </c>
      <c r="U11" s="412">
        <f t="shared" si="7"/>
        <v>0.43481535890152234</v>
      </c>
      <c r="V11" s="412">
        <f t="shared" si="7"/>
        <v>0.55173551459092507</v>
      </c>
      <c r="W11" s="412">
        <f t="shared" si="7"/>
        <v>0.55173551459092507</v>
      </c>
      <c r="X11" s="412">
        <f t="shared" si="7"/>
        <v>0.55173551459092507</v>
      </c>
      <c r="Y11" s="412">
        <f t="shared" si="7"/>
        <v>0.55173551459092507</v>
      </c>
      <c r="Z11" s="412">
        <f t="shared" si="7"/>
        <v>0.73142703484334215</v>
      </c>
      <c r="AA11" s="412">
        <f t="shared" si="7"/>
        <v>0.7746817023285556</v>
      </c>
      <c r="AB11" s="418">
        <v>0.79</v>
      </c>
    </row>
    <row r="12" spans="2:29" x14ac:dyDescent="0.3">
      <c r="B12" s="113"/>
      <c r="C12" s="459"/>
      <c r="D12" s="456" t="s">
        <v>456</v>
      </c>
      <c r="E12" s="445"/>
      <c r="F12" s="449"/>
      <c r="G12" s="407">
        <f t="shared" ref="G12:L12" si="8">+H12-H27</f>
        <v>482.2700000000001</v>
      </c>
      <c r="H12" s="407">
        <f t="shared" si="8"/>
        <v>482.2700000000001</v>
      </c>
      <c r="I12" s="407">
        <f t="shared" si="8"/>
        <v>482.2700000000001</v>
      </c>
      <c r="J12" s="407">
        <f t="shared" si="8"/>
        <v>482.2700000000001</v>
      </c>
      <c r="K12" s="407">
        <f t="shared" si="8"/>
        <v>482.2700000000001</v>
      </c>
      <c r="L12" s="407">
        <f t="shared" si="8"/>
        <v>489.87000000000012</v>
      </c>
      <c r="M12" s="407">
        <f>+N12-N27</f>
        <v>489.87000000000012</v>
      </c>
      <c r="N12" s="407">
        <f>OM_EF_2017!D90</f>
        <v>609.87000000000012</v>
      </c>
      <c r="O12" s="407">
        <f>+N12+O27</f>
        <v>664.87000000000012</v>
      </c>
      <c r="P12" s="407">
        <f t="shared" ref="P12:AA12" si="9">+O12+P27</f>
        <v>733.87000000000012</v>
      </c>
      <c r="Q12" s="407">
        <f t="shared" si="9"/>
        <v>1280.77</v>
      </c>
      <c r="R12" s="407">
        <f t="shared" si="9"/>
        <v>1774.97</v>
      </c>
      <c r="S12" s="407">
        <f t="shared" si="9"/>
        <v>1774.97</v>
      </c>
      <c r="T12" s="407">
        <f t="shared" si="9"/>
        <v>1774.97</v>
      </c>
      <c r="U12" s="407">
        <f t="shared" si="9"/>
        <v>1774.97</v>
      </c>
      <c r="V12" s="407">
        <f t="shared" si="9"/>
        <v>3166.9700000000003</v>
      </c>
      <c r="W12" s="407">
        <f t="shared" si="9"/>
        <v>3166.9700000000003</v>
      </c>
      <c r="X12" s="407">
        <f t="shared" si="9"/>
        <v>3166.9700000000003</v>
      </c>
      <c r="Y12" s="407">
        <f t="shared" si="9"/>
        <v>3166.9700000000003</v>
      </c>
      <c r="Z12" s="407">
        <f t="shared" si="9"/>
        <v>7668.97</v>
      </c>
      <c r="AA12" s="407">
        <f t="shared" si="9"/>
        <v>9348.9700000000012</v>
      </c>
    </row>
    <row r="13" spans="2:29" x14ac:dyDescent="0.3">
      <c r="B13" s="113"/>
      <c r="C13" s="459"/>
      <c r="D13" s="456" t="s">
        <v>457</v>
      </c>
      <c r="E13" s="445"/>
      <c r="F13" s="449"/>
      <c r="G13" s="81"/>
      <c r="H13" s="81"/>
      <c r="I13" s="81"/>
      <c r="J13" s="81"/>
      <c r="K13" s="81"/>
      <c r="L13" s="81"/>
      <c r="M13" s="81"/>
      <c r="N13" s="414">
        <f>+N12/N10</f>
        <v>0.90025684931506844</v>
      </c>
      <c r="O13" s="414">
        <f t="shared" ref="O13:AA13" si="10">+O12/O10</f>
        <v>0.8337555176565008</v>
      </c>
      <c r="P13" s="414">
        <f t="shared" si="10"/>
        <v>0.75935391747030334</v>
      </c>
      <c r="Q13" s="414">
        <f t="shared" si="10"/>
        <v>0.76175550453804708</v>
      </c>
      <c r="R13" s="414">
        <f t="shared" si="10"/>
        <v>0.7993416015924053</v>
      </c>
      <c r="S13" s="414">
        <f t="shared" si="10"/>
        <v>0.7993416015924053</v>
      </c>
      <c r="T13" s="414">
        <f t="shared" si="10"/>
        <v>0.76489523990105734</v>
      </c>
      <c r="U13" s="414">
        <f t="shared" si="10"/>
        <v>0.76489523990105734</v>
      </c>
      <c r="V13" s="414">
        <f t="shared" si="10"/>
        <v>0.853046701180324</v>
      </c>
      <c r="W13" s="414">
        <f t="shared" si="10"/>
        <v>0.853046701180324</v>
      </c>
      <c r="X13" s="414">
        <f t="shared" si="10"/>
        <v>0.853046701180324</v>
      </c>
      <c r="Y13" s="414">
        <f t="shared" si="10"/>
        <v>0.853046701180324</v>
      </c>
      <c r="Z13" s="414">
        <f t="shared" si="10"/>
        <v>0.93358483859108354</v>
      </c>
      <c r="AA13" s="414">
        <f t="shared" si="10"/>
        <v>0.90149307557754954</v>
      </c>
    </row>
    <row r="14" spans="2:29" x14ac:dyDescent="0.3">
      <c r="B14" s="113"/>
      <c r="C14" s="459"/>
      <c r="D14" s="456" t="s">
        <v>458</v>
      </c>
      <c r="E14" s="445"/>
      <c r="F14" s="449"/>
      <c r="G14" s="436">
        <f t="shared" ref="G14:L14" si="11">+H14-H28</f>
        <v>0</v>
      </c>
      <c r="H14" s="436">
        <f t="shared" si="11"/>
        <v>0</v>
      </c>
      <c r="I14" s="436">
        <f t="shared" si="11"/>
        <v>0</v>
      </c>
      <c r="J14" s="436">
        <f t="shared" si="11"/>
        <v>3</v>
      </c>
      <c r="K14" s="436">
        <f t="shared" si="11"/>
        <v>3</v>
      </c>
      <c r="L14" s="436">
        <f t="shared" si="11"/>
        <v>3</v>
      </c>
      <c r="M14" s="436">
        <f>+N14-N28</f>
        <v>27</v>
      </c>
      <c r="N14" s="407">
        <f>OM_EF_2017!D170</f>
        <v>27</v>
      </c>
      <c r="O14" s="407">
        <f>+N14+O28</f>
        <v>27</v>
      </c>
      <c r="P14" s="407">
        <f t="shared" ref="P14:AA14" si="12">+O14+P28</f>
        <v>27</v>
      </c>
      <c r="Q14" s="407">
        <f t="shared" si="12"/>
        <v>135</v>
      </c>
      <c r="R14" s="407">
        <f t="shared" si="12"/>
        <v>180</v>
      </c>
      <c r="S14" s="407">
        <f t="shared" si="12"/>
        <v>180</v>
      </c>
      <c r="T14" s="407">
        <f t="shared" si="12"/>
        <v>180</v>
      </c>
      <c r="U14" s="407">
        <f t="shared" si="12"/>
        <v>180</v>
      </c>
      <c r="V14" s="407">
        <f t="shared" si="12"/>
        <v>180</v>
      </c>
      <c r="W14" s="407">
        <f t="shared" si="12"/>
        <v>180</v>
      </c>
      <c r="X14" s="407">
        <f t="shared" si="12"/>
        <v>180</v>
      </c>
      <c r="Y14" s="407">
        <f t="shared" si="12"/>
        <v>180</v>
      </c>
      <c r="Z14" s="407">
        <f t="shared" si="12"/>
        <v>180</v>
      </c>
      <c r="AA14" s="407">
        <f t="shared" si="12"/>
        <v>456</v>
      </c>
    </row>
    <row r="15" spans="2:29" x14ac:dyDescent="0.3">
      <c r="B15" s="113"/>
      <c r="C15" s="460"/>
      <c r="D15" s="456" t="s">
        <v>459</v>
      </c>
      <c r="E15" s="450"/>
      <c r="F15" s="451"/>
      <c r="G15" s="414"/>
      <c r="H15" s="414"/>
      <c r="I15" s="414"/>
      <c r="J15" s="414"/>
      <c r="K15" s="414"/>
      <c r="L15" s="414"/>
      <c r="M15" s="414"/>
      <c r="N15" s="414">
        <f>+N14/N10</f>
        <v>3.9855928200283407E-2</v>
      </c>
      <c r="O15" s="414">
        <f t="shared" ref="O15:AA15" si="13">+O14/O10</f>
        <v>3.3858346709470299E-2</v>
      </c>
      <c r="P15" s="414">
        <f t="shared" si="13"/>
        <v>2.7937585364844166E-2</v>
      </c>
      <c r="Q15" s="414">
        <f t="shared" si="13"/>
        <v>8.0293099551548175E-2</v>
      </c>
      <c r="R15" s="414">
        <f t="shared" si="13"/>
        <v>8.1061363452133245E-2</v>
      </c>
      <c r="S15" s="414">
        <f t="shared" si="13"/>
        <v>8.1061363452133245E-2</v>
      </c>
      <c r="T15" s="414">
        <f t="shared" si="13"/>
        <v>7.7568152240426777E-2</v>
      </c>
      <c r="U15" s="414">
        <f t="shared" si="13"/>
        <v>7.7568152240426777E-2</v>
      </c>
      <c r="V15" s="414">
        <f t="shared" si="13"/>
        <v>4.8484326094803014E-2</v>
      </c>
      <c r="W15" s="414">
        <f t="shared" si="13"/>
        <v>4.8484326094803014E-2</v>
      </c>
      <c r="X15" s="414">
        <f t="shared" si="13"/>
        <v>4.8484326094803014E-2</v>
      </c>
      <c r="Y15" s="414">
        <f t="shared" si="13"/>
        <v>4.8484326094803014E-2</v>
      </c>
      <c r="Z15" s="414">
        <f t="shared" si="13"/>
        <v>2.1912365147652817E-2</v>
      </c>
      <c r="AA15" s="414">
        <f t="shared" si="13"/>
        <v>4.3970709336254424E-2</v>
      </c>
    </row>
    <row r="16" spans="2:29" x14ac:dyDescent="0.3">
      <c r="B16" s="113"/>
      <c r="C16" s="459"/>
      <c r="D16" s="456" t="s">
        <v>460</v>
      </c>
      <c r="E16" s="445"/>
      <c r="F16" s="449"/>
      <c r="G16" s="435">
        <f t="shared" ref="G16:L16" si="14">+H16-H29</f>
        <v>0</v>
      </c>
      <c r="H16" s="435">
        <f t="shared" si="14"/>
        <v>0</v>
      </c>
      <c r="I16" s="435">
        <f t="shared" si="14"/>
        <v>0</v>
      </c>
      <c r="J16" s="435">
        <f t="shared" si="14"/>
        <v>0</v>
      </c>
      <c r="K16" s="435">
        <f t="shared" si="14"/>
        <v>0</v>
      </c>
      <c r="L16" s="435">
        <f t="shared" si="14"/>
        <v>0</v>
      </c>
      <c r="M16" s="435">
        <f>+N16-N29</f>
        <v>0</v>
      </c>
      <c r="N16" s="407">
        <v>0</v>
      </c>
      <c r="O16" s="407">
        <f>+N16+O29</f>
        <v>65</v>
      </c>
      <c r="P16" s="407">
        <f t="shared" ref="P16:AA16" si="15">+O16+P29</f>
        <v>165</v>
      </c>
      <c r="Q16" s="407">
        <f t="shared" si="15"/>
        <v>170</v>
      </c>
      <c r="R16" s="407">
        <f t="shared" si="15"/>
        <v>170</v>
      </c>
      <c r="S16" s="407">
        <f t="shared" si="15"/>
        <v>170</v>
      </c>
      <c r="T16" s="407">
        <f t="shared" si="15"/>
        <v>170</v>
      </c>
      <c r="U16" s="407">
        <f t="shared" si="15"/>
        <v>170</v>
      </c>
      <c r="V16" s="407">
        <f t="shared" si="15"/>
        <v>170</v>
      </c>
      <c r="W16" s="407">
        <f t="shared" si="15"/>
        <v>170</v>
      </c>
      <c r="X16" s="407">
        <f t="shared" si="15"/>
        <v>170</v>
      </c>
      <c r="Y16" s="407">
        <f t="shared" si="15"/>
        <v>170</v>
      </c>
      <c r="Z16" s="407">
        <f t="shared" si="15"/>
        <v>170</v>
      </c>
      <c r="AA16" s="407">
        <f t="shared" si="15"/>
        <v>370</v>
      </c>
    </row>
    <row r="17" spans="2:27" x14ac:dyDescent="0.3">
      <c r="B17" s="113"/>
      <c r="C17" s="460"/>
      <c r="D17" s="456" t="s">
        <v>461</v>
      </c>
      <c r="E17" s="450"/>
      <c r="F17" s="451"/>
      <c r="G17" s="414"/>
      <c r="H17" s="414"/>
      <c r="I17" s="414"/>
      <c r="J17" s="414"/>
      <c r="K17" s="414"/>
      <c r="L17" s="414"/>
      <c r="M17" s="414"/>
      <c r="N17" s="414">
        <f>+N16/N10</f>
        <v>0</v>
      </c>
      <c r="O17" s="414">
        <f t="shared" ref="O17:AA17" si="16">+O16/O10</f>
        <v>8.1510834670947011E-2</v>
      </c>
      <c r="P17" s="414">
        <f t="shared" si="16"/>
        <v>0.17072968834071434</v>
      </c>
      <c r="Q17" s="414">
        <f t="shared" si="16"/>
        <v>0.10110982906491252</v>
      </c>
      <c r="R17" s="414">
        <f t="shared" si="16"/>
        <v>7.655795437145918E-2</v>
      </c>
      <c r="S17" s="414">
        <f t="shared" si="16"/>
        <v>7.655795437145918E-2</v>
      </c>
      <c r="T17" s="414">
        <f t="shared" si="16"/>
        <v>7.3258810449291958E-2</v>
      </c>
      <c r="U17" s="414">
        <f t="shared" si="16"/>
        <v>7.3258810449291958E-2</v>
      </c>
      <c r="V17" s="414">
        <f t="shared" si="16"/>
        <v>4.5790752422869514E-2</v>
      </c>
      <c r="W17" s="414">
        <f t="shared" si="16"/>
        <v>4.5790752422869514E-2</v>
      </c>
      <c r="X17" s="414">
        <f t="shared" si="16"/>
        <v>4.5790752422869514E-2</v>
      </c>
      <c r="Y17" s="414">
        <f t="shared" si="16"/>
        <v>4.5790752422869514E-2</v>
      </c>
      <c r="Z17" s="414">
        <f t="shared" si="16"/>
        <v>2.0695011528338771E-2</v>
      </c>
      <c r="AA17" s="414">
        <f t="shared" si="16"/>
        <v>3.5677987838627495E-2</v>
      </c>
    </row>
    <row r="18" spans="2:27" x14ac:dyDescent="0.3">
      <c r="B18" s="113"/>
      <c r="C18" s="459"/>
      <c r="D18" s="456" t="s">
        <v>462</v>
      </c>
      <c r="E18" s="445"/>
      <c r="F18" s="449"/>
      <c r="G18" s="435">
        <f t="shared" ref="G18" si="17">+H18-G30</f>
        <v>0</v>
      </c>
      <c r="H18" s="435">
        <f t="shared" ref="H18:L18" si="18">+I18-I30</f>
        <v>0</v>
      </c>
      <c r="I18" s="435">
        <f t="shared" si="18"/>
        <v>0</v>
      </c>
      <c r="J18" s="435">
        <f t="shared" si="18"/>
        <v>0</v>
      </c>
      <c r="K18" s="435">
        <f t="shared" si="18"/>
        <v>0</v>
      </c>
      <c r="L18" s="435">
        <f t="shared" si="18"/>
        <v>0</v>
      </c>
      <c r="M18" s="435">
        <f>+N18-N30</f>
        <v>0</v>
      </c>
      <c r="N18" s="407">
        <v>0</v>
      </c>
      <c r="O18" s="407">
        <f>+N18+O30</f>
        <v>0</v>
      </c>
      <c r="P18" s="407">
        <f t="shared" ref="P18:AA18" si="19">+O18+P30</f>
        <v>0</v>
      </c>
      <c r="Q18" s="407">
        <f t="shared" si="19"/>
        <v>5</v>
      </c>
      <c r="R18" s="407">
        <f t="shared" si="19"/>
        <v>5</v>
      </c>
      <c r="S18" s="407">
        <f t="shared" si="19"/>
        <v>5</v>
      </c>
      <c r="T18" s="407">
        <f t="shared" si="19"/>
        <v>105</v>
      </c>
      <c r="U18" s="407">
        <f t="shared" si="19"/>
        <v>105</v>
      </c>
      <c r="V18" s="407">
        <f t="shared" si="19"/>
        <v>105</v>
      </c>
      <c r="W18" s="407">
        <f t="shared" si="19"/>
        <v>105</v>
      </c>
      <c r="X18" s="407">
        <f t="shared" si="19"/>
        <v>105</v>
      </c>
      <c r="Y18" s="407">
        <f t="shared" si="19"/>
        <v>105</v>
      </c>
      <c r="Z18" s="407">
        <f t="shared" si="19"/>
        <v>105</v>
      </c>
      <c r="AA18" s="407">
        <f t="shared" si="19"/>
        <v>105</v>
      </c>
    </row>
    <row r="19" spans="2:27" x14ac:dyDescent="0.3">
      <c r="B19" s="113"/>
      <c r="C19" s="460"/>
      <c r="D19" s="456" t="s">
        <v>463</v>
      </c>
      <c r="E19" s="450"/>
      <c r="F19" s="451"/>
      <c r="G19" s="437"/>
      <c r="H19" s="437"/>
      <c r="I19" s="437"/>
      <c r="J19" s="437"/>
      <c r="K19" s="437"/>
      <c r="L19" s="437"/>
      <c r="M19" s="437"/>
      <c r="N19" s="437">
        <f>+N18/N10</f>
        <v>0</v>
      </c>
      <c r="O19" s="437">
        <f t="shared" ref="O19:AA19" si="20">+O18/O10</f>
        <v>0</v>
      </c>
      <c r="P19" s="437">
        <f t="shared" si="20"/>
        <v>0</v>
      </c>
      <c r="Q19" s="437">
        <f t="shared" si="20"/>
        <v>2.9738185019091918E-3</v>
      </c>
      <c r="R19" s="414">
        <f t="shared" si="20"/>
        <v>2.2517045403370349E-3</v>
      </c>
      <c r="S19" s="414">
        <f t="shared" si="20"/>
        <v>2.2517045403370349E-3</v>
      </c>
      <c r="T19" s="414">
        <f t="shared" si="20"/>
        <v>4.5248088806915623E-2</v>
      </c>
      <c r="U19" s="414">
        <f t="shared" si="20"/>
        <v>4.5248088806915623E-2</v>
      </c>
      <c r="V19" s="414">
        <f t="shared" si="20"/>
        <v>2.8282523555301756E-2</v>
      </c>
      <c r="W19" s="414">
        <f t="shared" si="20"/>
        <v>2.8282523555301756E-2</v>
      </c>
      <c r="X19" s="414">
        <f t="shared" si="20"/>
        <v>2.8282523555301756E-2</v>
      </c>
      <c r="Y19" s="414">
        <f t="shared" si="20"/>
        <v>2.8282523555301756E-2</v>
      </c>
      <c r="Z19" s="414">
        <f t="shared" si="20"/>
        <v>1.2782213002797476E-2</v>
      </c>
      <c r="AA19" s="414">
        <f t="shared" si="20"/>
        <v>1.0124834386637532E-2</v>
      </c>
    </row>
    <row r="20" spans="2:27" x14ac:dyDescent="0.3">
      <c r="B20" s="113"/>
      <c r="C20" s="459"/>
      <c r="D20" s="456" t="s">
        <v>464</v>
      </c>
      <c r="E20" s="445"/>
      <c r="F20" s="449"/>
      <c r="G20" s="436">
        <f t="shared" ref="G20:L20" si="21">+H20-H31</f>
        <v>21</v>
      </c>
      <c r="H20" s="436">
        <f t="shared" si="21"/>
        <v>21</v>
      </c>
      <c r="I20" s="436">
        <f t="shared" si="21"/>
        <v>21</v>
      </c>
      <c r="J20" s="436">
        <f t="shared" si="21"/>
        <v>21</v>
      </c>
      <c r="K20" s="436">
        <f t="shared" si="21"/>
        <v>35.57</v>
      </c>
      <c r="L20" s="436">
        <f t="shared" si="21"/>
        <v>35.57</v>
      </c>
      <c r="M20" s="436">
        <f>+N20-N31</f>
        <v>35.57</v>
      </c>
      <c r="N20" s="407">
        <f>OM_EF_2017!D162</f>
        <v>40.57</v>
      </c>
      <c r="O20" s="407">
        <f>+N20+O31</f>
        <v>40.57</v>
      </c>
      <c r="P20" s="407">
        <f t="shared" ref="P20:AA20" si="22">+O20+P31</f>
        <v>40.57</v>
      </c>
      <c r="Q20" s="407">
        <f t="shared" si="22"/>
        <v>90.57</v>
      </c>
      <c r="R20" s="407">
        <f t="shared" si="22"/>
        <v>90.57</v>
      </c>
      <c r="S20" s="407">
        <f t="shared" si="22"/>
        <v>90.57</v>
      </c>
      <c r="T20" s="407">
        <f t="shared" si="22"/>
        <v>90.57</v>
      </c>
      <c r="U20" s="407">
        <f t="shared" si="22"/>
        <v>90.57</v>
      </c>
      <c r="V20" s="407">
        <f t="shared" si="22"/>
        <v>90.57</v>
      </c>
      <c r="W20" s="407">
        <f t="shared" si="22"/>
        <v>90.57</v>
      </c>
      <c r="X20" s="407">
        <f t="shared" si="22"/>
        <v>90.57</v>
      </c>
      <c r="Y20" s="407">
        <f t="shared" si="22"/>
        <v>90.57</v>
      </c>
      <c r="Z20" s="407">
        <f t="shared" si="22"/>
        <v>90.57</v>
      </c>
      <c r="AA20" s="407">
        <f t="shared" si="22"/>
        <v>90.57</v>
      </c>
    </row>
    <row r="21" spans="2:27" x14ac:dyDescent="0.3">
      <c r="B21" s="113"/>
      <c r="C21" s="460"/>
      <c r="D21" s="456" t="s">
        <v>465</v>
      </c>
      <c r="E21" s="450"/>
      <c r="F21" s="451"/>
      <c r="G21" s="414"/>
      <c r="H21" s="414"/>
      <c r="I21" s="414"/>
      <c r="J21" s="414"/>
      <c r="K21" s="414"/>
      <c r="L21" s="414"/>
      <c r="M21" s="414"/>
      <c r="N21" s="414">
        <f>+N20/N10</f>
        <v>5.9887222484648076E-2</v>
      </c>
      <c r="O21" s="414">
        <f t="shared" ref="O21:AA21" si="23">+O20/O10</f>
        <v>5.0875300963081849E-2</v>
      </c>
      <c r="P21" s="414">
        <f t="shared" si="23"/>
        <v>4.197880882413807E-2</v>
      </c>
      <c r="Q21" s="414">
        <f t="shared" si="23"/>
        <v>5.3867748343583093E-2</v>
      </c>
      <c r="R21" s="414">
        <f t="shared" si="23"/>
        <v>4.0787376043665044E-2</v>
      </c>
      <c r="S21" s="414">
        <f t="shared" si="23"/>
        <v>4.0787376043665044E-2</v>
      </c>
      <c r="T21" s="414">
        <f t="shared" si="23"/>
        <v>3.9029708602308075E-2</v>
      </c>
      <c r="U21" s="414">
        <f t="shared" si="23"/>
        <v>3.9029708602308075E-2</v>
      </c>
      <c r="V21" s="414">
        <f t="shared" si="23"/>
        <v>2.4395696746701716E-2</v>
      </c>
      <c r="W21" s="414">
        <f t="shared" si="23"/>
        <v>2.4395696746701716E-2</v>
      </c>
      <c r="X21" s="414">
        <f t="shared" si="23"/>
        <v>2.4395696746701716E-2</v>
      </c>
      <c r="Y21" s="414">
        <f t="shared" si="23"/>
        <v>2.4395696746701716E-2</v>
      </c>
      <c r="Z21" s="414">
        <f t="shared" si="23"/>
        <v>1.1025571730127309E-2</v>
      </c>
      <c r="AA21" s="414">
        <f t="shared" si="23"/>
        <v>8.7333928609310586E-3</v>
      </c>
    </row>
    <row r="23" spans="2:27" x14ac:dyDescent="0.3">
      <c r="B23" s="457"/>
      <c r="C23" s="458"/>
      <c r="D23" s="461" t="s">
        <v>466</v>
      </c>
      <c r="E23" s="439"/>
      <c r="F23" s="438"/>
      <c r="G23" s="381">
        <v>2010</v>
      </c>
      <c r="H23" s="381">
        <v>2011</v>
      </c>
      <c r="I23" s="381">
        <v>2012</v>
      </c>
      <c r="J23" s="381">
        <v>2013</v>
      </c>
      <c r="K23" s="381">
        <v>2014</v>
      </c>
      <c r="L23" s="381">
        <v>2015</v>
      </c>
      <c r="M23" s="381">
        <v>2016</v>
      </c>
      <c r="N23" s="381">
        <v>2017</v>
      </c>
      <c r="O23" s="381">
        <v>2018</v>
      </c>
      <c r="P23" s="381">
        <v>2019</v>
      </c>
      <c r="Q23" s="381">
        <v>2020</v>
      </c>
      <c r="R23" s="381">
        <v>2021</v>
      </c>
      <c r="S23" s="381">
        <v>2022</v>
      </c>
      <c r="T23" s="381">
        <v>2023</v>
      </c>
      <c r="U23" s="381">
        <v>2024</v>
      </c>
      <c r="V23" s="381">
        <v>2025</v>
      </c>
      <c r="W23" s="381">
        <v>2026</v>
      </c>
      <c r="X23" s="381">
        <v>2027</v>
      </c>
      <c r="Y23" s="381">
        <v>2028</v>
      </c>
      <c r="Z23" s="381">
        <v>2029</v>
      </c>
      <c r="AA23" s="381">
        <v>2030</v>
      </c>
    </row>
    <row r="24" spans="2:27" s="37" customFormat="1" x14ac:dyDescent="0.3">
      <c r="B24" s="34"/>
      <c r="C24" s="458"/>
      <c r="D24" s="462" t="s">
        <v>468</v>
      </c>
      <c r="E24" s="442"/>
      <c r="F24" s="441"/>
      <c r="G24" s="404">
        <f t="shared" ref="G24:M24" si="24">+G25+G26</f>
        <v>96</v>
      </c>
      <c r="H24" s="404">
        <f t="shared" si="24"/>
        <v>0</v>
      </c>
      <c r="I24" s="404">
        <f t="shared" si="24"/>
        <v>155.82000000000002</v>
      </c>
      <c r="J24" s="404">
        <f t="shared" si="24"/>
        <v>35.4</v>
      </c>
      <c r="K24" s="404">
        <f t="shared" si="24"/>
        <v>238.95</v>
      </c>
      <c r="L24" s="404">
        <f t="shared" si="24"/>
        <v>229.05999999999997</v>
      </c>
      <c r="M24" s="404">
        <f t="shared" si="24"/>
        <v>24</v>
      </c>
      <c r="N24" s="404">
        <f>+N25+N26</f>
        <v>125</v>
      </c>
      <c r="O24" s="404">
        <f t="shared" ref="O24:AA24" si="25">+O25+O26</f>
        <v>120</v>
      </c>
      <c r="P24" s="404">
        <f t="shared" si="25"/>
        <v>578.20000000000005</v>
      </c>
      <c r="Q24" s="404">
        <f t="shared" si="25"/>
        <v>1902.2599999999998</v>
      </c>
      <c r="R24" s="404">
        <f t="shared" si="25"/>
        <v>539.20000000000005</v>
      </c>
      <c r="S24" s="404">
        <f t="shared" si="25"/>
        <v>0</v>
      </c>
      <c r="T24" s="404">
        <f t="shared" si="25"/>
        <v>100</v>
      </c>
      <c r="U24" s="404">
        <f t="shared" si="25"/>
        <v>0</v>
      </c>
      <c r="V24" s="404">
        <f t="shared" si="25"/>
        <v>1392</v>
      </c>
      <c r="W24" s="404">
        <f t="shared" si="25"/>
        <v>0</v>
      </c>
      <c r="X24" s="404">
        <f t="shared" si="25"/>
        <v>0</v>
      </c>
      <c r="Y24" s="404">
        <f t="shared" si="25"/>
        <v>0</v>
      </c>
      <c r="Z24" s="404">
        <f t="shared" si="25"/>
        <v>4502</v>
      </c>
      <c r="AA24" s="404">
        <f t="shared" si="25"/>
        <v>2156</v>
      </c>
    </row>
    <row r="25" spans="2:27" s="37" customFormat="1" x14ac:dyDescent="0.3">
      <c r="B25" s="13"/>
      <c r="C25" s="459"/>
      <c r="D25" s="463" t="s">
        <v>453</v>
      </c>
      <c r="E25" s="444"/>
      <c r="F25" s="449"/>
      <c r="G25" s="407">
        <f t="shared" ref="G25:N25" si="26">+SUMIF($C$191:$C$258,G23,$D$191:$D$258)</f>
        <v>96</v>
      </c>
      <c r="H25" s="407">
        <f t="shared" si="26"/>
        <v>0</v>
      </c>
      <c r="I25" s="407">
        <f t="shared" si="26"/>
        <v>155.82000000000002</v>
      </c>
      <c r="J25" s="407">
        <f t="shared" si="26"/>
        <v>32.4</v>
      </c>
      <c r="K25" s="407">
        <f t="shared" si="26"/>
        <v>224.38</v>
      </c>
      <c r="L25" s="407">
        <f t="shared" si="26"/>
        <v>221.45999999999998</v>
      </c>
      <c r="M25" s="407">
        <f t="shared" si="26"/>
        <v>0</v>
      </c>
      <c r="N25" s="407">
        <f t="shared" si="26"/>
        <v>0</v>
      </c>
      <c r="O25" s="407">
        <f t="shared" ref="O25:AA25" si="27">+SUMIF($C$55:$C$78,O23,$D$55:$D$78)</f>
        <v>0</v>
      </c>
      <c r="P25" s="407">
        <f t="shared" si="27"/>
        <v>409.20000000000005</v>
      </c>
      <c r="Q25" s="407">
        <f t="shared" si="27"/>
        <v>1187.3599999999999</v>
      </c>
      <c r="R25" s="407">
        <f t="shared" si="27"/>
        <v>0</v>
      </c>
      <c r="S25" s="407">
        <f t="shared" si="27"/>
        <v>0</v>
      </c>
      <c r="T25" s="407">
        <f t="shared" si="27"/>
        <v>0</v>
      </c>
      <c r="U25" s="407">
        <f t="shared" si="27"/>
        <v>0</v>
      </c>
      <c r="V25" s="407">
        <f t="shared" si="27"/>
        <v>0</v>
      </c>
      <c r="W25" s="407">
        <f t="shared" si="27"/>
        <v>0</v>
      </c>
      <c r="X25" s="407">
        <f t="shared" si="27"/>
        <v>0</v>
      </c>
      <c r="Y25" s="407">
        <f t="shared" si="27"/>
        <v>0</v>
      </c>
      <c r="Z25" s="407">
        <f t="shared" si="27"/>
        <v>0</v>
      </c>
      <c r="AA25" s="407">
        <f t="shared" si="27"/>
        <v>0</v>
      </c>
    </row>
    <row r="26" spans="2:27" s="37" customFormat="1" x14ac:dyDescent="0.3">
      <c r="B26" s="13"/>
      <c r="C26" s="459"/>
      <c r="D26" s="463" t="s">
        <v>467</v>
      </c>
      <c r="E26" s="444"/>
      <c r="F26" s="449"/>
      <c r="G26" s="407">
        <f t="shared" ref="G26:M26" si="28">+G27+G28+G29+G30+G31</f>
        <v>0</v>
      </c>
      <c r="H26" s="407">
        <f t="shared" si="28"/>
        <v>0</v>
      </c>
      <c r="I26" s="407">
        <f t="shared" si="28"/>
        <v>0</v>
      </c>
      <c r="J26" s="407">
        <f t="shared" si="28"/>
        <v>3</v>
      </c>
      <c r="K26" s="407">
        <f t="shared" si="28"/>
        <v>14.57</v>
      </c>
      <c r="L26" s="407">
        <f t="shared" si="28"/>
        <v>7.6</v>
      </c>
      <c r="M26" s="407">
        <f t="shared" si="28"/>
        <v>24</v>
      </c>
      <c r="N26" s="407">
        <f>+N27+N28+N29+N30+N31</f>
        <v>125</v>
      </c>
      <c r="O26" s="407">
        <f t="shared" ref="O26:AA26" si="29">+O27+O28+O29+O30+O31</f>
        <v>120</v>
      </c>
      <c r="P26" s="407">
        <f t="shared" si="29"/>
        <v>169</v>
      </c>
      <c r="Q26" s="407">
        <f t="shared" si="29"/>
        <v>714.9</v>
      </c>
      <c r="R26" s="407">
        <f t="shared" si="29"/>
        <v>539.20000000000005</v>
      </c>
      <c r="S26" s="407">
        <f t="shared" si="29"/>
        <v>0</v>
      </c>
      <c r="T26" s="407">
        <f t="shared" si="29"/>
        <v>100</v>
      </c>
      <c r="U26" s="407">
        <f t="shared" si="29"/>
        <v>0</v>
      </c>
      <c r="V26" s="407">
        <f t="shared" si="29"/>
        <v>1392</v>
      </c>
      <c r="W26" s="407">
        <f t="shared" si="29"/>
        <v>0</v>
      </c>
      <c r="X26" s="407">
        <f t="shared" si="29"/>
        <v>0</v>
      </c>
      <c r="Y26" s="407">
        <f t="shared" si="29"/>
        <v>0</v>
      </c>
      <c r="Z26" s="407">
        <f t="shared" si="29"/>
        <v>4502</v>
      </c>
      <c r="AA26" s="407">
        <f t="shared" si="29"/>
        <v>2156</v>
      </c>
    </row>
    <row r="27" spans="2:27" x14ac:dyDescent="0.3">
      <c r="B27" s="113"/>
      <c r="C27" s="459"/>
      <c r="D27" s="470" t="s">
        <v>456</v>
      </c>
      <c r="E27" s="445"/>
      <c r="F27" s="449"/>
      <c r="G27" s="407">
        <f t="shared" ref="G27:N27" si="30">SUMIF($C$263:$C$331,G23,$D$263:$D$331)</f>
        <v>0</v>
      </c>
      <c r="H27" s="407">
        <f t="shared" si="30"/>
        <v>0</v>
      </c>
      <c r="I27" s="407">
        <f t="shared" si="30"/>
        <v>0</v>
      </c>
      <c r="J27" s="407">
        <f t="shared" si="30"/>
        <v>0</v>
      </c>
      <c r="K27" s="407">
        <f t="shared" si="30"/>
        <v>0</v>
      </c>
      <c r="L27" s="407">
        <f t="shared" si="30"/>
        <v>7.6</v>
      </c>
      <c r="M27" s="407">
        <f t="shared" si="30"/>
        <v>0</v>
      </c>
      <c r="N27" s="384">
        <f t="shared" si="30"/>
        <v>120</v>
      </c>
      <c r="O27" s="407">
        <f t="shared" ref="O27:AA27" si="31">+SUMIF($C$83:$C$127,O23,$D$83:$D$127)</f>
        <v>55</v>
      </c>
      <c r="P27" s="407">
        <f t="shared" si="31"/>
        <v>69</v>
      </c>
      <c r="Q27" s="407">
        <f t="shared" si="31"/>
        <v>546.9</v>
      </c>
      <c r="R27" s="407">
        <f t="shared" si="31"/>
        <v>494.2</v>
      </c>
      <c r="S27" s="407">
        <f t="shared" si="31"/>
        <v>0</v>
      </c>
      <c r="T27" s="407">
        <f t="shared" si="31"/>
        <v>0</v>
      </c>
      <c r="U27" s="407">
        <f t="shared" si="31"/>
        <v>0</v>
      </c>
      <c r="V27" s="407">
        <f t="shared" si="31"/>
        <v>1392</v>
      </c>
      <c r="W27" s="407">
        <f t="shared" si="31"/>
        <v>0</v>
      </c>
      <c r="X27" s="407">
        <f t="shared" si="31"/>
        <v>0</v>
      </c>
      <c r="Y27" s="407">
        <f t="shared" si="31"/>
        <v>0</v>
      </c>
      <c r="Z27" s="407">
        <f t="shared" si="31"/>
        <v>4502</v>
      </c>
      <c r="AA27" s="407">
        <f t="shared" si="31"/>
        <v>1680</v>
      </c>
    </row>
    <row r="28" spans="2:27" x14ac:dyDescent="0.3">
      <c r="B28" s="113"/>
      <c r="C28" s="459"/>
      <c r="D28" s="470" t="s">
        <v>458</v>
      </c>
      <c r="E28" s="445"/>
      <c r="F28" s="449"/>
      <c r="G28" s="407">
        <f t="shared" ref="G28:N28" si="32">+SUMIF($C$345:$C$347,G23,$D$345:$D$347)</f>
        <v>0</v>
      </c>
      <c r="H28" s="407">
        <f t="shared" si="32"/>
        <v>0</v>
      </c>
      <c r="I28" s="407">
        <f t="shared" si="32"/>
        <v>0</v>
      </c>
      <c r="J28" s="407">
        <f t="shared" si="32"/>
        <v>3</v>
      </c>
      <c r="K28" s="407">
        <f t="shared" si="32"/>
        <v>0</v>
      </c>
      <c r="L28" s="407">
        <f t="shared" si="32"/>
        <v>0</v>
      </c>
      <c r="M28" s="407">
        <f t="shared" si="32"/>
        <v>24</v>
      </c>
      <c r="N28" s="407">
        <f t="shared" si="32"/>
        <v>0</v>
      </c>
      <c r="O28" s="407">
        <f t="shared" ref="O28:AA28" si="33">+SUMIF($C$133:$C$147,O23,$D$133:$D$147)</f>
        <v>0</v>
      </c>
      <c r="P28" s="407">
        <f t="shared" si="33"/>
        <v>0</v>
      </c>
      <c r="Q28" s="407">
        <f t="shared" si="33"/>
        <v>108</v>
      </c>
      <c r="R28" s="407">
        <f t="shared" si="33"/>
        <v>45</v>
      </c>
      <c r="S28" s="407">
        <f t="shared" si="33"/>
        <v>0</v>
      </c>
      <c r="T28" s="407">
        <f t="shared" si="33"/>
        <v>0</v>
      </c>
      <c r="U28" s="407">
        <f t="shared" si="33"/>
        <v>0</v>
      </c>
      <c r="V28" s="407">
        <f t="shared" si="33"/>
        <v>0</v>
      </c>
      <c r="W28" s="407">
        <f t="shared" si="33"/>
        <v>0</v>
      </c>
      <c r="X28" s="407">
        <f t="shared" si="33"/>
        <v>0</v>
      </c>
      <c r="Y28" s="407">
        <f t="shared" si="33"/>
        <v>0</v>
      </c>
      <c r="Z28" s="407">
        <f t="shared" si="33"/>
        <v>0</v>
      </c>
      <c r="AA28" s="407">
        <f t="shared" si="33"/>
        <v>276</v>
      </c>
    </row>
    <row r="29" spans="2:27" x14ac:dyDescent="0.3">
      <c r="B29" s="113"/>
      <c r="C29" s="459"/>
      <c r="D29" s="470" t="s">
        <v>460</v>
      </c>
      <c r="E29" s="445"/>
      <c r="F29" s="449"/>
      <c r="G29" s="407">
        <v>0</v>
      </c>
      <c r="H29" s="407">
        <v>0</v>
      </c>
      <c r="I29" s="407">
        <v>0</v>
      </c>
      <c r="J29" s="407">
        <v>0</v>
      </c>
      <c r="K29" s="407">
        <v>0</v>
      </c>
      <c r="L29" s="407">
        <v>0</v>
      </c>
      <c r="M29" s="407">
        <v>0</v>
      </c>
      <c r="N29" s="407">
        <v>0</v>
      </c>
      <c r="O29" s="407">
        <f t="shared" ref="O29:AA29" si="34">+SUMIF($C$152:$C$165,O23,$D$152:$D$165)</f>
        <v>65</v>
      </c>
      <c r="P29" s="407">
        <f t="shared" si="34"/>
        <v>100</v>
      </c>
      <c r="Q29" s="407">
        <f t="shared" si="34"/>
        <v>5</v>
      </c>
      <c r="R29" s="407">
        <f t="shared" si="34"/>
        <v>0</v>
      </c>
      <c r="S29" s="407">
        <f t="shared" si="34"/>
        <v>0</v>
      </c>
      <c r="T29" s="407">
        <f t="shared" si="34"/>
        <v>0</v>
      </c>
      <c r="U29" s="407">
        <f t="shared" si="34"/>
        <v>0</v>
      </c>
      <c r="V29" s="407">
        <f t="shared" si="34"/>
        <v>0</v>
      </c>
      <c r="W29" s="407">
        <f t="shared" si="34"/>
        <v>0</v>
      </c>
      <c r="X29" s="407">
        <f t="shared" si="34"/>
        <v>0</v>
      </c>
      <c r="Y29" s="407">
        <f t="shared" si="34"/>
        <v>0</v>
      </c>
      <c r="Z29" s="407">
        <f t="shared" si="34"/>
        <v>0</v>
      </c>
      <c r="AA29" s="407">
        <f t="shared" si="34"/>
        <v>200</v>
      </c>
    </row>
    <row r="30" spans="2:27" x14ac:dyDescent="0.3">
      <c r="B30" s="113"/>
      <c r="C30" s="459"/>
      <c r="D30" s="463" t="s">
        <v>462</v>
      </c>
      <c r="E30" s="444"/>
      <c r="F30" s="449"/>
      <c r="G30" s="407">
        <v>0</v>
      </c>
      <c r="H30" s="407">
        <v>0</v>
      </c>
      <c r="I30" s="407">
        <v>0</v>
      </c>
      <c r="J30" s="407">
        <v>0</v>
      </c>
      <c r="K30" s="407">
        <v>0</v>
      </c>
      <c r="L30" s="407">
        <v>0</v>
      </c>
      <c r="M30" s="407">
        <v>0</v>
      </c>
      <c r="N30" s="407">
        <f t="shared" ref="N30:AA30" si="35">+SUMIF($C$170:$C$173,N23,$D$170:$D$184)</f>
        <v>0</v>
      </c>
      <c r="O30" s="407">
        <f t="shared" si="35"/>
        <v>0</v>
      </c>
      <c r="P30" s="407">
        <f t="shared" si="35"/>
        <v>0</v>
      </c>
      <c r="Q30" s="407">
        <f t="shared" si="35"/>
        <v>5</v>
      </c>
      <c r="R30" s="407">
        <f t="shared" si="35"/>
        <v>0</v>
      </c>
      <c r="S30" s="407">
        <f t="shared" si="35"/>
        <v>0</v>
      </c>
      <c r="T30" s="407">
        <f t="shared" si="35"/>
        <v>100</v>
      </c>
      <c r="U30" s="407">
        <f t="shared" si="35"/>
        <v>0</v>
      </c>
      <c r="V30" s="407">
        <f t="shared" si="35"/>
        <v>0</v>
      </c>
      <c r="W30" s="407">
        <f t="shared" si="35"/>
        <v>0</v>
      </c>
      <c r="X30" s="407">
        <f t="shared" si="35"/>
        <v>0</v>
      </c>
      <c r="Y30" s="407">
        <f t="shared" si="35"/>
        <v>0</v>
      </c>
      <c r="Z30" s="407">
        <f t="shared" si="35"/>
        <v>0</v>
      </c>
      <c r="AA30" s="407">
        <f t="shared" si="35"/>
        <v>0</v>
      </c>
    </row>
    <row r="31" spans="2:27" x14ac:dyDescent="0.3">
      <c r="B31" s="113"/>
      <c r="C31" s="459"/>
      <c r="D31" s="463" t="s">
        <v>464</v>
      </c>
      <c r="E31" s="444"/>
      <c r="F31" s="449"/>
      <c r="G31" s="407">
        <f t="shared" ref="G31:N31" si="36">+SUMIF($C$336:$C$340,G23,$D$336:$D$340)</f>
        <v>0</v>
      </c>
      <c r="H31" s="407">
        <f t="shared" si="36"/>
        <v>0</v>
      </c>
      <c r="I31" s="407">
        <f t="shared" si="36"/>
        <v>0</v>
      </c>
      <c r="J31" s="407">
        <f t="shared" si="36"/>
        <v>0</v>
      </c>
      <c r="K31" s="407">
        <f t="shared" si="36"/>
        <v>14.57</v>
      </c>
      <c r="L31" s="407">
        <f t="shared" si="36"/>
        <v>0</v>
      </c>
      <c r="M31" s="407">
        <f t="shared" si="36"/>
        <v>0</v>
      </c>
      <c r="N31" s="407">
        <f t="shared" si="36"/>
        <v>5</v>
      </c>
      <c r="O31" s="407">
        <f t="shared" ref="O31:AA31" si="37">+SUMIF($C$178:$C$183,O23,$D$178:$D$183)</f>
        <v>0</v>
      </c>
      <c r="P31" s="407">
        <f t="shared" si="37"/>
        <v>0</v>
      </c>
      <c r="Q31" s="407">
        <f t="shared" si="37"/>
        <v>50</v>
      </c>
      <c r="R31" s="407">
        <f t="shared" si="37"/>
        <v>0</v>
      </c>
      <c r="S31" s="407">
        <f t="shared" si="37"/>
        <v>0</v>
      </c>
      <c r="T31" s="407">
        <f t="shared" si="37"/>
        <v>0</v>
      </c>
      <c r="U31" s="407">
        <f t="shared" si="37"/>
        <v>0</v>
      </c>
      <c r="V31" s="407">
        <f t="shared" si="37"/>
        <v>0</v>
      </c>
      <c r="W31" s="407">
        <f t="shared" si="37"/>
        <v>0</v>
      </c>
      <c r="X31" s="407">
        <f t="shared" si="37"/>
        <v>0</v>
      </c>
      <c r="Y31" s="407">
        <f t="shared" si="37"/>
        <v>0</v>
      </c>
      <c r="Z31" s="407">
        <f t="shared" si="37"/>
        <v>0</v>
      </c>
      <c r="AA31" s="407">
        <f t="shared" si="37"/>
        <v>0</v>
      </c>
    </row>
    <row r="32" spans="2:27" x14ac:dyDescent="0.3">
      <c r="B32" s="9"/>
      <c r="C32" s="9"/>
    </row>
    <row r="33" spans="2:27" x14ac:dyDescent="0.3">
      <c r="B33" s="457"/>
      <c r="C33" s="458"/>
      <c r="D33" s="461" t="s">
        <v>446</v>
      </c>
      <c r="E33" s="439"/>
      <c r="F33" s="438"/>
      <c r="G33" s="381">
        <v>2010</v>
      </c>
      <c r="H33" s="381">
        <v>2011</v>
      </c>
      <c r="I33" s="381">
        <v>2012</v>
      </c>
      <c r="J33" s="381">
        <v>2013</v>
      </c>
      <c r="K33" s="381">
        <v>2014</v>
      </c>
      <c r="L33" s="381">
        <v>2015</v>
      </c>
      <c r="M33" s="381">
        <v>2016</v>
      </c>
      <c r="N33" s="381">
        <v>2017</v>
      </c>
      <c r="O33" s="381">
        <v>2018</v>
      </c>
      <c r="P33" s="381">
        <v>2019</v>
      </c>
      <c r="Q33" s="381">
        <v>2020</v>
      </c>
      <c r="R33" s="381">
        <v>2021</v>
      </c>
      <c r="S33" s="381">
        <v>2022</v>
      </c>
      <c r="T33" s="381">
        <v>2023</v>
      </c>
      <c r="U33" s="381">
        <v>2024</v>
      </c>
      <c r="V33" s="381">
        <v>2025</v>
      </c>
      <c r="W33" s="381">
        <v>2026</v>
      </c>
      <c r="X33" s="381">
        <v>2027</v>
      </c>
      <c r="Y33" s="381">
        <v>2028</v>
      </c>
      <c r="Z33" s="381">
        <v>2029</v>
      </c>
      <c r="AA33" s="381">
        <v>2030</v>
      </c>
    </row>
    <row r="34" spans="2:27" x14ac:dyDescent="0.3">
      <c r="B34" s="465"/>
      <c r="C34" s="459"/>
      <c r="D34" s="464" t="s">
        <v>405</v>
      </c>
      <c r="E34" s="444"/>
      <c r="F34" s="449"/>
      <c r="G34" s="407">
        <v>5814019.0352499997</v>
      </c>
      <c r="H34" s="407">
        <v>6301852.2619999992</v>
      </c>
      <c r="I34" s="407">
        <v>6604327.1639999999</v>
      </c>
      <c r="J34" s="407">
        <v>7012819.3770000003</v>
      </c>
      <c r="K34" s="407">
        <v>7477658.0630000019</v>
      </c>
      <c r="L34" s="407">
        <v>7945921.6869999999</v>
      </c>
      <c r="M34" s="407">
        <v>8377847.3140000002</v>
      </c>
      <c r="N34" s="407">
        <v>8613743.881000001</v>
      </c>
      <c r="O34" s="407">
        <v>9096484.1005555242</v>
      </c>
      <c r="P34" s="407">
        <v>9861641.2775088195</v>
      </c>
      <c r="Q34" s="407">
        <v>10650466.03389922</v>
      </c>
      <c r="R34" s="407">
        <v>11767871.007999998</v>
      </c>
      <c r="S34" s="407">
        <v>12509304.038000001</v>
      </c>
      <c r="T34" s="407">
        <v>13292004.038000001</v>
      </c>
      <c r="U34" s="407">
        <v>14119084.037999999</v>
      </c>
      <c r="V34" s="407">
        <v>14992914.037999995</v>
      </c>
      <c r="W34" s="407">
        <v>15915934.037999999</v>
      </c>
      <c r="X34" s="407">
        <v>16890764.037999999</v>
      </c>
      <c r="Y34" s="407">
        <v>17920144.037999999</v>
      </c>
      <c r="Z34" s="407">
        <v>19006944.038000003</v>
      </c>
      <c r="AA34" s="407">
        <v>20154224.037999999</v>
      </c>
    </row>
    <row r="35" spans="2:27" x14ac:dyDescent="0.3">
      <c r="B35" s="465"/>
      <c r="C35" s="459"/>
      <c r="D35" s="464" t="s">
        <v>404</v>
      </c>
      <c r="E35" s="444"/>
      <c r="F35" s="449"/>
      <c r="G35" s="81"/>
      <c r="H35" s="81"/>
      <c r="I35" s="81"/>
      <c r="J35" s="81"/>
      <c r="K35" s="81"/>
      <c r="L35" s="81"/>
      <c r="M35" s="81"/>
      <c r="N35" s="81"/>
      <c r="O35" s="472">
        <v>0.04</v>
      </c>
      <c r="P35" s="472">
        <v>0.04</v>
      </c>
      <c r="Q35" s="472">
        <v>0.04</v>
      </c>
      <c r="R35" s="472">
        <v>0.04</v>
      </c>
      <c r="S35" s="472">
        <v>0.04</v>
      </c>
      <c r="T35" s="472">
        <v>0.04</v>
      </c>
      <c r="U35" s="472">
        <v>0.04</v>
      </c>
      <c r="V35" s="472">
        <v>0.04</v>
      </c>
      <c r="W35" s="472">
        <v>0.04</v>
      </c>
      <c r="X35" s="472">
        <v>0.04</v>
      </c>
      <c r="Y35" s="472">
        <v>0.04</v>
      </c>
      <c r="Z35" s="472">
        <v>0.04</v>
      </c>
      <c r="AA35" s="472">
        <v>0.04</v>
      </c>
    </row>
    <row r="36" spans="2:27" x14ac:dyDescent="0.3">
      <c r="B36" s="466"/>
      <c r="C36" s="458"/>
      <c r="D36" s="462" t="s">
        <v>406</v>
      </c>
      <c r="E36" s="442"/>
      <c r="F36" s="441"/>
      <c r="G36" s="404">
        <f>+G38</f>
        <v>6085440.8650679979</v>
      </c>
      <c r="H36" s="404">
        <f t="shared" ref="H36:N36" si="38">+H38</f>
        <v>6592941.5332299992</v>
      </c>
      <c r="I36" s="404">
        <f t="shared" si="38"/>
        <v>6861925.9259466501</v>
      </c>
      <c r="J36" s="404">
        <f t="shared" si="38"/>
        <v>7286833.0360245043</v>
      </c>
      <c r="K36" s="404">
        <f t="shared" si="38"/>
        <v>7743488.7027113652</v>
      </c>
      <c r="L36" s="404">
        <f t="shared" si="38"/>
        <v>8248316.8230674472</v>
      </c>
      <c r="M36" s="404">
        <f t="shared" si="38"/>
        <v>8669522.2586782202</v>
      </c>
      <c r="N36" s="404">
        <f t="shared" si="38"/>
        <v>8890377.2369821966</v>
      </c>
      <c r="O36" s="404">
        <f>+O34/(1-O35)</f>
        <v>9475504.2714120056</v>
      </c>
      <c r="P36" s="404">
        <f t="shared" ref="P36:AA36" si="39">+P34/(1-P35)</f>
        <v>10272542.997405021</v>
      </c>
      <c r="Q36" s="404">
        <f t="shared" si="39"/>
        <v>11094235.451978354</v>
      </c>
      <c r="R36" s="404">
        <f t="shared" si="39"/>
        <v>12258198.966666665</v>
      </c>
      <c r="S36" s="404">
        <f t="shared" si="39"/>
        <v>13030525.039583335</v>
      </c>
      <c r="T36" s="404">
        <f t="shared" si="39"/>
        <v>13845837.539583335</v>
      </c>
      <c r="U36" s="404">
        <f t="shared" si="39"/>
        <v>14707379.206249999</v>
      </c>
      <c r="V36" s="404">
        <f t="shared" si="39"/>
        <v>15617618.789583329</v>
      </c>
      <c r="W36" s="404">
        <f t="shared" si="39"/>
        <v>16579097.956249999</v>
      </c>
      <c r="X36" s="404">
        <f t="shared" si="39"/>
        <v>17594545.872916665</v>
      </c>
      <c r="Y36" s="404">
        <f t="shared" si="39"/>
        <v>18666816.706250001</v>
      </c>
      <c r="Z36" s="404">
        <f t="shared" si="39"/>
        <v>19798900.039583337</v>
      </c>
      <c r="AA36" s="404">
        <f t="shared" si="39"/>
        <v>20993983.372916665</v>
      </c>
    </row>
    <row r="37" spans="2:27" x14ac:dyDescent="0.3">
      <c r="B37" s="405"/>
      <c r="C37" s="405"/>
      <c r="D37" s="405"/>
      <c r="E37" s="405"/>
      <c r="F37" s="405"/>
      <c r="G37" s="405"/>
      <c r="H37" s="405"/>
      <c r="I37" s="405"/>
      <c r="J37" s="405"/>
      <c r="K37" s="405"/>
      <c r="L37" s="405"/>
      <c r="M37" s="405"/>
      <c r="N37" s="405"/>
      <c r="O37" s="406"/>
      <c r="P37" s="406"/>
      <c r="Q37" s="406"/>
      <c r="R37" s="406"/>
      <c r="S37" s="406"/>
      <c r="T37" s="406"/>
      <c r="U37" s="406"/>
      <c r="V37" s="406"/>
      <c r="W37" s="406"/>
      <c r="X37" s="406"/>
      <c r="Y37" s="406"/>
      <c r="Z37" s="406"/>
      <c r="AA37" s="406"/>
    </row>
    <row r="38" spans="2:27" x14ac:dyDescent="0.3">
      <c r="B38" s="457"/>
      <c r="C38" s="458"/>
      <c r="D38" s="461" t="s">
        <v>196</v>
      </c>
      <c r="E38" s="439"/>
      <c r="F38" s="438"/>
      <c r="G38" s="382">
        <f t="shared" ref="G38:N38" si="40">+G190+G262+G335+G344</f>
        <v>6085440.8650679979</v>
      </c>
      <c r="H38" s="382">
        <f t="shared" si="40"/>
        <v>6592941.5332299992</v>
      </c>
      <c r="I38" s="382">
        <f t="shared" si="40"/>
        <v>6861925.9259466501</v>
      </c>
      <c r="J38" s="382">
        <f t="shared" si="40"/>
        <v>7286833.0360245043</v>
      </c>
      <c r="K38" s="382">
        <f t="shared" si="40"/>
        <v>7743488.7027113652</v>
      </c>
      <c r="L38" s="382">
        <f t="shared" si="40"/>
        <v>8248316.8230674472</v>
      </c>
      <c r="M38" s="382">
        <f t="shared" si="40"/>
        <v>8669522.2586782202</v>
      </c>
      <c r="N38" s="382">
        <f t="shared" si="40"/>
        <v>8890377.2369821966</v>
      </c>
      <c r="O38" s="382">
        <f>+O190+O262+O335+O344+O54+O82+O132+O151+O169+O177</f>
        <v>9549855.4570679404</v>
      </c>
      <c r="P38" s="382">
        <f t="shared" ref="P38:AA38" si="41">+P190+P262+P335+P344+P54+P82+P132+P151+P169+P177</f>
        <v>12726694.191623498</v>
      </c>
      <c r="Q38" s="382">
        <f t="shared" si="41"/>
        <v>20759867.119263519</v>
      </c>
      <c r="R38" s="382">
        <f t="shared" si="41"/>
        <v>23042112.006337687</v>
      </c>
      <c r="S38" s="382">
        <f t="shared" si="41"/>
        <v>23042112.006337687</v>
      </c>
      <c r="T38" s="382">
        <f t="shared" si="41"/>
        <v>23786712.006337687</v>
      </c>
      <c r="U38" s="382">
        <f t="shared" si="41"/>
        <v>23786712.006337687</v>
      </c>
      <c r="V38" s="382">
        <f t="shared" si="41"/>
        <v>29883672.006337687</v>
      </c>
      <c r="W38" s="382">
        <f t="shared" si="41"/>
        <v>29883672.006337687</v>
      </c>
      <c r="X38" s="382">
        <f t="shared" si="41"/>
        <v>29883672.006337687</v>
      </c>
      <c r="Y38" s="382">
        <f t="shared" si="41"/>
        <v>29883672.006337687</v>
      </c>
      <c r="Z38" s="382">
        <f t="shared" si="41"/>
        <v>51889185.606337689</v>
      </c>
      <c r="AA38" s="382">
        <f t="shared" si="41"/>
        <v>60514281.606337689</v>
      </c>
    </row>
    <row r="39" spans="2:27" x14ac:dyDescent="0.3">
      <c r="B39" s="13"/>
      <c r="C39" s="467"/>
      <c r="D39" s="463" t="s">
        <v>400</v>
      </c>
      <c r="E39" s="446"/>
      <c r="F39" s="468"/>
      <c r="G39" s="200">
        <f t="shared" ref="G39:N39" si="42">+G262+G335+G344</f>
        <v>2209585.150035846</v>
      </c>
      <c r="H39" s="200">
        <f t="shared" si="42"/>
        <v>2388145.9836729998</v>
      </c>
      <c r="I39" s="200">
        <f t="shared" si="42"/>
        <v>2386578.6652733334</v>
      </c>
      <c r="J39" s="200">
        <f t="shared" si="42"/>
        <v>2594391.147199627</v>
      </c>
      <c r="K39" s="200">
        <f t="shared" si="42"/>
        <v>2317460.2385350005</v>
      </c>
      <c r="L39" s="200">
        <f t="shared" si="42"/>
        <v>2530134.7848262745</v>
      </c>
      <c r="M39" s="200">
        <f t="shared" si="42"/>
        <v>1811708.9550000003</v>
      </c>
      <c r="N39" s="200">
        <f t="shared" si="42"/>
        <v>2334294.7473999988</v>
      </c>
      <c r="O39" s="200">
        <f t="shared" ref="O39:AA39" si="43">+O82+O132+O151+O169+O262+O335+O344</f>
        <v>3176644.4586587572</v>
      </c>
      <c r="P39" s="200">
        <f t="shared" si="43"/>
        <v>3678816.5949920905</v>
      </c>
      <c r="Q39" s="200">
        <f t="shared" si="43"/>
        <v>6453108.5949920909</v>
      </c>
      <c r="R39" s="200">
        <f t="shared" si="43"/>
        <v>8755674.59499209</v>
      </c>
      <c r="S39" s="200">
        <f t="shared" si="43"/>
        <v>8755674.59499209</v>
      </c>
      <c r="T39" s="200">
        <f t="shared" si="43"/>
        <v>9500274.59499209</v>
      </c>
      <c r="U39" s="200">
        <f t="shared" si="43"/>
        <v>9500274.59499209</v>
      </c>
      <c r="V39" s="200">
        <f t="shared" si="43"/>
        <v>15597234.59499209</v>
      </c>
      <c r="W39" s="200">
        <f t="shared" si="43"/>
        <v>15597234.59499209</v>
      </c>
      <c r="X39" s="200">
        <f t="shared" si="43"/>
        <v>15597234.59499209</v>
      </c>
      <c r="Y39" s="200">
        <f t="shared" si="43"/>
        <v>15597234.59499209</v>
      </c>
      <c r="Z39" s="200">
        <f t="shared" si="43"/>
        <v>37602748.194992095</v>
      </c>
      <c r="AA39" s="200">
        <f t="shared" si="43"/>
        <v>46227844.194992095</v>
      </c>
    </row>
    <row r="40" spans="2:27" x14ac:dyDescent="0.3">
      <c r="B40" s="13"/>
      <c r="C40" s="467"/>
      <c r="D40" s="463" t="s">
        <v>401</v>
      </c>
      <c r="E40" s="446"/>
      <c r="F40" s="468"/>
      <c r="G40" s="380">
        <f>+G39/G38</f>
        <v>0.36309368524463614</v>
      </c>
      <c r="H40" s="380">
        <f t="shared" ref="H40:AA40" si="44">+H39/H38</f>
        <v>0.36222769027090168</v>
      </c>
      <c r="I40" s="380">
        <f t="shared" si="44"/>
        <v>0.34780012069921734</v>
      </c>
      <c r="J40" s="380">
        <f t="shared" si="44"/>
        <v>0.35603823147498043</v>
      </c>
      <c r="K40" s="380">
        <f t="shared" si="44"/>
        <v>0.29927857164995242</v>
      </c>
      <c r="L40" s="380">
        <f t="shared" si="44"/>
        <v>0.30674558689967352</v>
      </c>
      <c r="M40" s="380">
        <f t="shared" si="44"/>
        <v>0.20897448566862767</v>
      </c>
      <c r="N40" s="380">
        <f t="shared" si="44"/>
        <v>0.26256419555401972</v>
      </c>
      <c r="O40" s="380">
        <f t="shared" si="44"/>
        <v>0.33263796221205544</v>
      </c>
      <c r="P40" s="380">
        <f t="shared" si="44"/>
        <v>0.28906301507687893</v>
      </c>
      <c r="Q40" s="380">
        <f t="shared" si="44"/>
        <v>0.31084537092263542</v>
      </c>
      <c r="R40" s="380">
        <f t="shared" si="44"/>
        <v>0.3799857666078465</v>
      </c>
      <c r="S40" s="380">
        <f t="shared" si="44"/>
        <v>0.3799857666078465</v>
      </c>
      <c r="T40" s="380">
        <f t="shared" si="44"/>
        <v>0.39939419086004213</v>
      </c>
      <c r="U40" s="380">
        <f t="shared" si="44"/>
        <v>0.39939419086004213</v>
      </c>
      <c r="V40" s="380">
        <f t="shared" si="44"/>
        <v>0.52193166193512797</v>
      </c>
      <c r="W40" s="380">
        <f t="shared" si="44"/>
        <v>0.52193166193512797</v>
      </c>
      <c r="X40" s="380">
        <f t="shared" si="44"/>
        <v>0.52193166193512797</v>
      </c>
      <c r="Y40" s="380">
        <f t="shared" si="44"/>
        <v>0.52193166193512797</v>
      </c>
      <c r="Z40" s="380">
        <f t="shared" si="44"/>
        <v>0.72467408681779999</v>
      </c>
      <c r="AA40" s="380">
        <f t="shared" si="44"/>
        <v>0.76391626848876992</v>
      </c>
    </row>
    <row r="41" spans="2:27" x14ac:dyDescent="0.3">
      <c r="B41" s="13"/>
      <c r="C41" s="467"/>
      <c r="D41" s="463" t="s">
        <v>403</v>
      </c>
      <c r="E41" s="446"/>
      <c r="F41" s="468"/>
      <c r="G41" s="383">
        <f t="shared" ref="G41:N41" si="45">+G54+G190</f>
        <v>3875855.7150321514</v>
      </c>
      <c r="H41" s="383">
        <f t="shared" si="45"/>
        <v>4204795.5495570004</v>
      </c>
      <c r="I41" s="383">
        <f t="shared" si="45"/>
        <v>4475347.2606733171</v>
      </c>
      <c r="J41" s="383">
        <f t="shared" si="45"/>
        <v>4692441.8888248773</v>
      </c>
      <c r="K41" s="383">
        <f t="shared" si="45"/>
        <v>5426028.4641763652</v>
      </c>
      <c r="L41" s="383">
        <f t="shared" si="45"/>
        <v>5718182.0382411722</v>
      </c>
      <c r="M41" s="383">
        <f t="shared" si="45"/>
        <v>6857813.3036782192</v>
      </c>
      <c r="N41" s="383">
        <f t="shared" si="45"/>
        <v>6556082.4895821987</v>
      </c>
      <c r="O41" s="383">
        <f t="shared" ref="O41:AA41" si="46">+O54+O190</f>
        <v>6373210.9984091837</v>
      </c>
      <c r="P41" s="383">
        <f t="shared" si="46"/>
        <v>9047877.5966314059</v>
      </c>
      <c r="Q41" s="383">
        <f t="shared" si="46"/>
        <v>13934458.524271429</v>
      </c>
      <c r="R41" s="383">
        <f t="shared" si="46"/>
        <v>13914137.411345595</v>
      </c>
      <c r="S41" s="383">
        <f t="shared" si="46"/>
        <v>13914137.411345595</v>
      </c>
      <c r="T41" s="383">
        <f t="shared" si="46"/>
        <v>13914137.411345595</v>
      </c>
      <c r="U41" s="383">
        <f t="shared" si="46"/>
        <v>13914137.411345595</v>
      </c>
      <c r="V41" s="383">
        <f t="shared" si="46"/>
        <v>13914137.411345595</v>
      </c>
      <c r="W41" s="383">
        <f t="shared" si="46"/>
        <v>13914137.411345595</v>
      </c>
      <c r="X41" s="383">
        <f t="shared" si="46"/>
        <v>13914137.411345595</v>
      </c>
      <c r="Y41" s="383">
        <f t="shared" si="46"/>
        <v>13914137.411345595</v>
      </c>
      <c r="Z41" s="383">
        <f t="shared" si="46"/>
        <v>13914137.411345595</v>
      </c>
      <c r="AA41" s="383">
        <f t="shared" si="46"/>
        <v>13914137.411345595</v>
      </c>
    </row>
    <row r="42" spans="2:27" x14ac:dyDescent="0.3">
      <c r="B42" s="13"/>
      <c r="C42" s="467"/>
      <c r="D42" s="463" t="s">
        <v>402</v>
      </c>
      <c r="E42" s="446"/>
      <c r="F42" s="468"/>
      <c r="G42" s="380">
        <f>+G41/G38</f>
        <v>0.63690631475536374</v>
      </c>
      <c r="H42" s="380">
        <f t="shared" ref="H42:AA42" si="47">+H41/H38</f>
        <v>0.63777230972909849</v>
      </c>
      <c r="I42" s="380">
        <f t="shared" si="47"/>
        <v>0.65219987930078271</v>
      </c>
      <c r="J42" s="380">
        <f t="shared" si="47"/>
        <v>0.64396176852501952</v>
      </c>
      <c r="K42" s="380">
        <f t="shared" si="47"/>
        <v>0.70072142835004758</v>
      </c>
      <c r="L42" s="380">
        <f t="shared" si="47"/>
        <v>0.69325441310032643</v>
      </c>
      <c r="M42" s="380">
        <f t="shared" si="47"/>
        <v>0.79102551433137225</v>
      </c>
      <c r="N42" s="380">
        <f t="shared" si="47"/>
        <v>0.73743580444598045</v>
      </c>
      <c r="O42" s="380">
        <f t="shared" si="47"/>
        <v>0.66736203778794456</v>
      </c>
      <c r="P42" s="380">
        <f t="shared" si="47"/>
        <v>0.71093698492312096</v>
      </c>
      <c r="Q42" s="380">
        <f t="shared" si="47"/>
        <v>0.67122098827604493</v>
      </c>
      <c r="R42" s="380">
        <f t="shared" si="47"/>
        <v>0.60385686032246255</v>
      </c>
      <c r="S42" s="380">
        <f t="shared" si="47"/>
        <v>0.60385686032246255</v>
      </c>
      <c r="T42" s="380">
        <f t="shared" si="47"/>
        <v>0.58495421341286424</v>
      </c>
      <c r="U42" s="380">
        <f t="shared" si="47"/>
        <v>0.58495421341286424</v>
      </c>
      <c r="V42" s="380">
        <f t="shared" si="47"/>
        <v>0.46561002973110882</v>
      </c>
      <c r="W42" s="380">
        <f t="shared" si="47"/>
        <v>0.46561002973110882</v>
      </c>
      <c r="X42" s="380">
        <f t="shared" si="47"/>
        <v>0.46561002973110882</v>
      </c>
      <c r="Y42" s="380">
        <f t="shared" si="47"/>
        <v>0.46561002973110882</v>
      </c>
      <c r="Z42" s="380">
        <f t="shared" si="47"/>
        <v>0.26815100774382045</v>
      </c>
      <c r="AA42" s="380">
        <f t="shared" si="47"/>
        <v>0.22993146480463814</v>
      </c>
    </row>
    <row r="43" spans="2:27" x14ac:dyDescent="0.3">
      <c r="B43" s="13"/>
      <c r="C43" s="467"/>
      <c r="D43" s="471" t="s">
        <v>478</v>
      </c>
      <c r="E43" s="454"/>
      <c r="F43" s="469"/>
      <c r="G43" s="383">
        <f t="shared" ref="G43:AA43" si="48">+G38-G36</f>
        <v>0</v>
      </c>
      <c r="H43" s="383">
        <f t="shared" si="48"/>
        <v>0</v>
      </c>
      <c r="I43" s="383">
        <f t="shared" si="48"/>
        <v>0</v>
      </c>
      <c r="J43" s="383">
        <f t="shared" si="48"/>
        <v>0</v>
      </c>
      <c r="K43" s="383">
        <f t="shared" si="48"/>
        <v>0</v>
      </c>
      <c r="L43" s="383">
        <f t="shared" si="48"/>
        <v>0</v>
      </c>
      <c r="M43" s="383">
        <f t="shared" si="48"/>
        <v>0</v>
      </c>
      <c r="N43" s="383">
        <f t="shared" si="48"/>
        <v>0</v>
      </c>
      <c r="O43" s="383">
        <f t="shared" si="48"/>
        <v>74351.185655934736</v>
      </c>
      <c r="P43" s="383">
        <f t="shared" si="48"/>
        <v>2454151.1942184772</v>
      </c>
      <c r="Q43" s="383">
        <f t="shared" si="48"/>
        <v>9665631.6672851648</v>
      </c>
      <c r="R43" s="383">
        <f t="shared" si="48"/>
        <v>10783913.039671022</v>
      </c>
      <c r="S43" s="383">
        <f t="shared" si="48"/>
        <v>10011586.966754353</v>
      </c>
      <c r="T43" s="383">
        <f t="shared" si="48"/>
        <v>9940874.4667543527</v>
      </c>
      <c r="U43" s="383">
        <f t="shared" si="48"/>
        <v>9079332.8000876885</v>
      </c>
      <c r="V43" s="383">
        <f t="shared" si="48"/>
        <v>14266053.216754358</v>
      </c>
      <c r="W43" s="383">
        <f t="shared" si="48"/>
        <v>13304574.050087688</v>
      </c>
      <c r="X43" s="383">
        <f t="shared" si="48"/>
        <v>12289126.133421022</v>
      </c>
      <c r="Y43" s="383">
        <f t="shared" si="48"/>
        <v>11216855.300087687</v>
      </c>
      <c r="Z43" s="383">
        <f t="shared" si="48"/>
        <v>32090285.566754352</v>
      </c>
      <c r="AA43" s="383">
        <f t="shared" si="48"/>
        <v>39520298.233421028</v>
      </c>
    </row>
    <row r="44" spans="2:27" x14ac:dyDescent="0.3">
      <c r="B44" s="13"/>
      <c r="C44" s="13"/>
      <c r="D44" s="13"/>
      <c r="E44" s="13"/>
      <c r="F44" s="13"/>
      <c r="G44" s="41"/>
      <c r="H44" s="41"/>
      <c r="I44" s="41"/>
      <c r="J44" s="41"/>
      <c r="K44" s="41"/>
      <c r="L44" s="41"/>
      <c r="M44" s="41"/>
      <c r="N44" s="41"/>
      <c r="O44" s="41"/>
      <c r="P44" s="41"/>
      <c r="Q44" s="41"/>
      <c r="R44" s="41"/>
      <c r="S44" s="41"/>
      <c r="T44" s="41"/>
      <c r="U44" s="41"/>
      <c r="V44" s="41"/>
      <c r="W44" s="41"/>
      <c r="X44" s="41"/>
      <c r="Y44" s="41"/>
      <c r="Z44" s="41"/>
      <c r="AA44" s="41"/>
    </row>
    <row r="45" spans="2:27" x14ac:dyDescent="0.3">
      <c r="B45" s="457"/>
      <c r="C45" s="458"/>
      <c r="D45" s="461" t="s">
        <v>441</v>
      </c>
      <c r="E45" s="439"/>
      <c r="F45" s="438"/>
      <c r="G45" s="381">
        <v>2010</v>
      </c>
      <c r="H45" s="381">
        <v>2011</v>
      </c>
      <c r="I45" s="381">
        <v>2012</v>
      </c>
      <c r="J45" s="381">
        <v>2013</v>
      </c>
      <c r="K45" s="381">
        <v>2014</v>
      </c>
      <c r="L45" s="381">
        <v>2015</v>
      </c>
      <c r="M45" s="381">
        <v>2016</v>
      </c>
      <c r="N45" s="381">
        <v>2017</v>
      </c>
      <c r="O45" s="381">
        <v>2018</v>
      </c>
      <c r="P45" s="381">
        <v>2019</v>
      </c>
      <c r="Q45" s="381">
        <v>2020</v>
      </c>
      <c r="R45" s="381">
        <v>2021</v>
      </c>
      <c r="S45" s="381">
        <v>2022</v>
      </c>
      <c r="T45" s="381">
        <v>2023</v>
      </c>
      <c r="U45" s="381">
        <v>2024</v>
      </c>
      <c r="V45" s="381">
        <v>2025</v>
      </c>
      <c r="W45" s="381">
        <v>2026</v>
      </c>
      <c r="X45" s="381">
        <v>2027</v>
      </c>
      <c r="Y45" s="381">
        <v>2028</v>
      </c>
      <c r="Z45" s="381">
        <v>2029</v>
      </c>
      <c r="AA45" s="381">
        <v>2030</v>
      </c>
    </row>
    <row r="46" spans="2:27" ht="15.6" x14ac:dyDescent="0.35">
      <c r="B46" s="13"/>
      <c r="C46" s="467"/>
      <c r="D46" s="463" t="s">
        <v>443</v>
      </c>
      <c r="E46" s="446"/>
      <c r="F46" s="468"/>
      <c r="G46" s="200">
        <f>+OM_EF_2010!H23</f>
        <v>2367600.8022007537</v>
      </c>
      <c r="H46" s="200">
        <f>+OM_EF_2011!H22</f>
        <v>2563443.5542223589</v>
      </c>
      <c r="I46" s="200">
        <f>+OM_EF_2012!H22</f>
        <v>2817609.7087179245</v>
      </c>
      <c r="J46" s="200">
        <f>+OM_EF_2013!H22</f>
        <v>2778715.3568573501</v>
      </c>
      <c r="K46" s="200">
        <f>+OM_EF_2014!H22</f>
        <v>3227014.1231285771</v>
      </c>
      <c r="L46" s="200">
        <f>+OM_EF_2015!H22</f>
        <v>3281998.2416344592</v>
      </c>
      <c r="M46" s="200">
        <f>+OM_EF_2016!H23</f>
        <v>4027512.3858852028</v>
      </c>
      <c r="N46" s="200">
        <f>+OM_EF_2017!H22</f>
        <v>3757647.5833060076</v>
      </c>
      <c r="O46" s="200">
        <f>+SUMPRODUCT($F$191:$F$258,O191:O258)+SUMPRODUCT($F$55:$F$78,O55:O78)</f>
        <v>3649126.2841368457</v>
      </c>
      <c r="P46" s="200">
        <f t="shared" ref="P46:AA46" si="49">+SUMPRODUCT($F$191:$F$258,P191:P258)+SUMPRODUCT($F$55:$F$78,P55:P78)</f>
        <v>4696138.878289084</v>
      </c>
      <c r="Q46" s="200">
        <f t="shared" si="49"/>
        <v>6657346.9828693923</v>
      </c>
      <c r="R46" s="200">
        <f t="shared" si="49"/>
        <v>6642931.989030404</v>
      </c>
      <c r="S46" s="200">
        <f t="shared" si="49"/>
        <v>6642931.989030404</v>
      </c>
      <c r="T46" s="200">
        <f t="shared" si="49"/>
        <v>6642931.989030404</v>
      </c>
      <c r="U46" s="200">
        <f t="shared" si="49"/>
        <v>6642931.989030404</v>
      </c>
      <c r="V46" s="200">
        <f t="shared" si="49"/>
        <v>6642931.989030404</v>
      </c>
      <c r="W46" s="200">
        <f t="shared" si="49"/>
        <v>6642931.989030404</v>
      </c>
      <c r="X46" s="200">
        <f>+SUMPRODUCT($F$191:$F$258,X191:X258)+SUMPRODUCT($F$55:$F$78,X55:X78)</f>
        <v>6642931.989030404</v>
      </c>
      <c r="Y46" s="200">
        <f t="shared" si="49"/>
        <v>6642931.989030404</v>
      </c>
      <c r="Z46" s="200">
        <f t="shared" si="49"/>
        <v>6642931.989030404</v>
      </c>
      <c r="AA46" s="200">
        <f t="shared" si="49"/>
        <v>6642931.989030404</v>
      </c>
    </row>
    <row r="47" spans="2:27" ht="15.6" x14ac:dyDescent="0.35">
      <c r="B47" s="13"/>
      <c r="C47" s="467"/>
      <c r="D47" s="463" t="s">
        <v>445</v>
      </c>
      <c r="E47" s="446"/>
      <c r="F47" s="468"/>
      <c r="G47" s="402">
        <f>+'Grid-EF'!H9</f>
        <v>0.3890598651268462</v>
      </c>
      <c r="H47" s="402">
        <f>+'Grid-EF'!I9</f>
        <v>0.38881636387976309</v>
      </c>
      <c r="I47" s="402">
        <f>+'Grid-EF'!J9</f>
        <v>0.41061499921819916</v>
      </c>
      <c r="J47" s="402">
        <f>+'Grid-EF'!K9</f>
        <v>0.38133374857362462</v>
      </c>
      <c r="K47" s="402">
        <f>+'Grid-EF'!L9</f>
        <v>0.41673904967390796</v>
      </c>
      <c r="L47" s="402">
        <f>+'Grid-EF'!M9</f>
        <v>0.39789914864278025</v>
      </c>
      <c r="M47" s="402">
        <f>+'Grid-EF'!N9</f>
        <v>0.46455989911712259</v>
      </c>
      <c r="N47" s="402">
        <f>+'Grid-EF'!O9</f>
        <v>0.42261392631992878</v>
      </c>
      <c r="O47" s="402">
        <f>+O46/O38</f>
        <v>0.38211324773885369</v>
      </c>
      <c r="P47" s="402">
        <f t="shared" ref="P47:AA47" si="50">+P46/P38</f>
        <v>0.36899911379814609</v>
      </c>
      <c r="Q47" s="402">
        <f t="shared" si="50"/>
        <v>0.32068350652841604</v>
      </c>
      <c r="R47" s="402">
        <f t="shared" si="50"/>
        <v>0.28829527376671371</v>
      </c>
      <c r="S47" s="402">
        <f t="shared" si="50"/>
        <v>0.28829527376671371</v>
      </c>
      <c r="T47" s="402">
        <f t="shared" si="50"/>
        <v>0.27927071161665695</v>
      </c>
      <c r="U47" s="402">
        <f t="shared" si="50"/>
        <v>0.27927071161665695</v>
      </c>
      <c r="V47" s="402">
        <f t="shared" si="50"/>
        <v>0.22229302970604081</v>
      </c>
      <c r="W47" s="402">
        <f t="shared" si="50"/>
        <v>0.22229302970604081</v>
      </c>
      <c r="X47" s="402">
        <f t="shared" si="50"/>
        <v>0.22229302970604081</v>
      </c>
      <c r="Y47" s="402">
        <f t="shared" si="50"/>
        <v>0.22229302970604081</v>
      </c>
      <c r="Z47" s="402">
        <f t="shared" si="50"/>
        <v>0.12802151183153362</v>
      </c>
      <c r="AA47" s="402">
        <f t="shared" si="50"/>
        <v>0.10977461539152911</v>
      </c>
    </row>
    <row r="48" spans="2:27" ht="15.6" x14ac:dyDescent="0.35">
      <c r="B48" s="13"/>
      <c r="C48" s="467"/>
      <c r="D48" s="463" t="s">
        <v>447</v>
      </c>
      <c r="E48" s="446"/>
      <c r="F48" s="468"/>
      <c r="G48" s="402">
        <f>+G46/G41</f>
        <v>0.61085885963665543</v>
      </c>
      <c r="H48" s="402">
        <f t="shared" ref="H48:AA48" si="51">+H46/H41</f>
        <v>0.6096476092618659</v>
      </c>
      <c r="I48" s="402">
        <f t="shared" si="51"/>
        <v>0.62958459860252602</v>
      </c>
      <c r="J48" s="402">
        <f t="shared" si="51"/>
        <v>0.59216830441201707</v>
      </c>
      <c r="K48" s="402">
        <f t="shared" si="51"/>
        <v>0.5947285651805766</v>
      </c>
      <c r="L48" s="402">
        <f t="shared" si="51"/>
        <v>0.57395833495429482</v>
      </c>
      <c r="M48" s="402">
        <f t="shared" si="51"/>
        <v>0.58728813508600886</v>
      </c>
      <c r="N48" s="402">
        <f t="shared" si="51"/>
        <v>0.57315440879168567</v>
      </c>
      <c r="O48" s="402">
        <f t="shared" si="51"/>
        <v>0.57257264588410828</v>
      </c>
      <c r="P48" s="402">
        <f t="shared" si="51"/>
        <v>0.51903209654797855</v>
      </c>
      <c r="Q48" s="402">
        <f t="shared" si="51"/>
        <v>0.4777614409109216</v>
      </c>
      <c r="R48" s="402">
        <f t="shared" si="51"/>
        <v>0.47742319862485716</v>
      </c>
      <c r="S48" s="402">
        <f t="shared" si="51"/>
        <v>0.47742319862485716</v>
      </c>
      <c r="T48" s="402">
        <f t="shared" si="51"/>
        <v>0.47742319862485716</v>
      </c>
      <c r="U48" s="402">
        <f t="shared" si="51"/>
        <v>0.47742319862485716</v>
      </c>
      <c r="V48" s="402">
        <f t="shared" si="51"/>
        <v>0.47742319862485716</v>
      </c>
      <c r="W48" s="402">
        <f t="shared" si="51"/>
        <v>0.47742319862485716</v>
      </c>
      <c r="X48" s="402">
        <f t="shared" si="51"/>
        <v>0.47742319862485716</v>
      </c>
      <c r="Y48" s="402">
        <f t="shared" si="51"/>
        <v>0.47742319862485716</v>
      </c>
      <c r="Z48" s="402">
        <f t="shared" si="51"/>
        <v>0.47742319862485716</v>
      </c>
      <c r="AA48" s="402">
        <f t="shared" si="51"/>
        <v>0.47742319862485716</v>
      </c>
    </row>
    <row r="49" spans="2:27" x14ac:dyDescent="0.3">
      <c r="B49" s="13"/>
      <c r="C49" s="13"/>
      <c r="D49" s="13"/>
      <c r="E49" s="13"/>
      <c r="F49" s="13"/>
      <c r="G49" s="41"/>
      <c r="H49" s="41"/>
      <c r="I49" s="41"/>
      <c r="J49" s="41"/>
      <c r="K49" s="41"/>
      <c r="L49" s="41"/>
      <c r="M49" s="41"/>
      <c r="N49" s="41"/>
      <c r="O49" s="41"/>
      <c r="P49" s="41"/>
      <c r="Q49" s="41"/>
      <c r="R49" s="41"/>
      <c r="S49" s="41"/>
      <c r="T49" s="41"/>
      <c r="U49" s="41"/>
      <c r="V49" s="41"/>
      <c r="W49" s="41"/>
      <c r="X49" s="41"/>
      <c r="Y49" s="41"/>
      <c r="Z49" s="41"/>
      <c r="AA49" s="41"/>
    </row>
    <row r="50" spans="2:27" x14ac:dyDescent="0.3">
      <c r="B50" s="385" t="s">
        <v>409</v>
      </c>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7"/>
    </row>
    <row r="51" spans="2:27" x14ac:dyDescent="0.3">
      <c r="B51" s="13"/>
      <c r="C51" s="13"/>
      <c r="D51" s="13"/>
      <c r="E51" s="13"/>
      <c r="F51" s="13"/>
      <c r="G51" s="41"/>
      <c r="H51" s="41"/>
      <c r="I51" s="41"/>
      <c r="J51" s="41"/>
      <c r="K51" s="41"/>
      <c r="L51" s="41"/>
      <c r="M51" s="41"/>
      <c r="N51" s="41"/>
      <c r="O51" s="41"/>
      <c r="P51" s="41"/>
      <c r="Q51" s="41"/>
      <c r="R51" s="41"/>
      <c r="S51" s="41"/>
      <c r="T51" s="41"/>
      <c r="U51" s="41"/>
      <c r="V51" s="41"/>
      <c r="W51" s="41"/>
      <c r="X51" s="41"/>
      <c r="Y51" s="41"/>
      <c r="Z51" s="41"/>
      <c r="AA51" s="41"/>
    </row>
    <row r="52" spans="2:27" x14ac:dyDescent="0.3">
      <c r="B52" s="439"/>
      <c r="C52" s="440"/>
      <c r="D52" s="440"/>
      <c r="E52" s="440"/>
      <c r="F52" s="438"/>
      <c r="G52" s="381">
        <v>2010</v>
      </c>
      <c r="H52" s="381">
        <v>2011</v>
      </c>
      <c r="I52" s="381">
        <v>2012</v>
      </c>
      <c r="J52" s="381">
        <v>2013</v>
      </c>
      <c r="K52" s="381">
        <v>2014</v>
      </c>
      <c r="L52" s="381">
        <v>2015</v>
      </c>
      <c r="M52" s="381">
        <v>2016</v>
      </c>
      <c r="N52" s="381">
        <v>2017</v>
      </c>
      <c r="O52" s="381">
        <v>2018</v>
      </c>
      <c r="P52" s="381">
        <v>2019</v>
      </c>
      <c r="Q52" s="381">
        <v>2020</v>
      </c>
      <c r="R52" s="381">
        <v>2021</v>
      </c>
      <c r="S52" s="381">
        <v>2022</v>
      </c>
      <c r="T52" s="381">
        <v>2023</v>
      </c>
      <c r="U52" s="381">
        <v>2024</v>
      </c>
      <c r="V52" s="381">
        <v>2025</v>
      </c>
      <c r="W52" s="381">
        <v>2026</v>
      </c>
      <c r="X52" s="381">
        <v>2027</v>
      </c>
      <c r="Y52" s="381">
        <v>2028</v>
      </c>
      <c r="Z52" s="381">
        <v>2029</v>
      </c>
      <c r="AA52" s="381">
        <v>2030</v>
      </c>
    </row>
    <row r="53" spans="2:27" s="475" customFormat="1" ht="53.25" customHeight="1" x14ac:dyDescent="0.3">
      <c r="B53" s="473" t="s">
        <v>163</v>
      </c>
      <c r="C53" s="389" t="s">
        <v>279</v>
      </c>
      <c r="D53" s="389" t="s">
        <v>397</v>
      </c>
      <c r="E53" s="474" t="s">
        <v>247</v>
      </c>
      <c r="F53" s="397" t="s">
        <v>444</v>
      </c>
      <c r="G53" s="397" t="s">
        <v>197</v>
      </c>
      <c r="H53" s="397" t="s">
        <v>197</v>
      </c>
      <c r="I53" s="397" t="s">
        <v>197</v>
      </c>
      <c r="J53" s="397" t="s">
        <v>197</v>
      </c>
      <c r="K53" s="397" t="s">
        <v>197</v>
      </c>
      <c r="L53" s="397" t="s">
        <v>197</v>
      </c>
      <c r="M53" s="397" t="s">
        <v>197</v>
      </c>
      <c r="N53" s="397" t="s">
        <v>197</v>
      </c>
      <c r="O53" s="397" t="s">
        <v>197</v>
      </c>
      <c r="P53" s="397" t="s">
        <v>197</v>
      </c>
      <c r="Q53" s="397" t="s">
        <v>197</v>
      </c>
      <c r="R53" s="397" t="s">
        <v>197</v>
      </c>
      <c r="S53" s="397" t="s">
        <v>197</v>
      </c>
      <c r="T53" s="397" t="s">
        <v>197</v>
      </c>
      <c r="U53" s="397" t="s">
        <v>197</v>
      </c>
      <c r="V53" s="397" t="s">
        <v>197</v>
      </c>
      <c r="W53" s="397" t="s">
        <v>197</v>
      </c>
      <c r="X53" s="397" t="s">
        <v>197</v>
      </c>
      <c r="Y53" s="397" t="s">
        <v>197</v>
      </c>
      <c r="Z53" s="397" t="s">
        <v>197</v>
      </c>
      <c r="AA53" s="397" t="s">
        <v>197</v>
      </c>
    </row>
    <row r="54" spans="2:27" x14ac:dyDescent="0.3">
      <c r="B54" s="16" t="s">
        <v>15</v>
      </c>
      <c r="C54" s="377"/>
      <c r="D54" s="377"/>
      <c r="E54" s="377"/>
      <c r="F54" s="377"/>
      <c r="G54" s="58">
        <f t="shared" ref="G54:O54" si="52">SUM(G55:G78)</f>
        <v>0</v>
      </c>
      <c r="H54" s="58">
        <f t="shared" si="52"/>
        <v>0</v>
      </c>
      <c r="I54" s="58">
        <f t="shared" si="52"/>
        <v>0</v>
      </c>
      <c r="J54" s="58">
        <f t="shared" si="52"/>
        <v>0</v>
      </c>
      <c r="K54" s="58">
        <f t="shared" si="52"/>
        <v>0</v>
      </c>
      <c r="L54" s="58">
        <f t="shared" si="52"/>
        <v>0</v>
      </c>
      <c r="M54" s="58">
        <f t="shared" si="52"/>
        <v>0</v>
      </c>
      <c r="N54" s="58">
        <f t="shared" si="52"/>
        <v>0</v>
      </c>
      <c r="O54" s="58">
        <f t="shared" si="52"/>
        <v>0</v>
      </c>
      <c r="P54" s="58">
        <f t="shared" ref="P54:AA54" si="53">SUM(P55:P78)</f>
        <v>2509214.4</v>
      </c>
      <c r="Q54" s="58">
        <f t="shared" si="53"/>
        <v>9790105.9199999999</v>
      </c>
      <c r="R54" s="58">
        <f t="shared" si="53"/>
        <v>9790105.9199999999</v>
      </c>
      <c r="S54" s="58">
        <f t="shared" si="53"/>
        <v>9790105.9199999999</v>
      </c>
      <c r="T54" s="58">
        <f t="shared" si="53"/>
        <v>9790105.9199999999</v>
      </c>
      <c r="U54" s="58">
        <f t="shared" si="53"/>
        <v>9790105.9199999999</v>
      </c>
      <c r="V54" s="58">
        <f t="shared" si="53"/>
        <v>9790105.9199999999</v>
      </c>
      <c r="W54" s="58">
        <f t="shared" si="53"/>
        <v>9790105.9199999999</v>
      </c>
      <c r="X54" s="58">
        <f t="shared" si="53"/>
        <v>9790105.9199999999</v>
      </c>
      <c r="Y54" s="58">
        <f t="shared" si="53"/>
        <v>9790105.9199999999</v>
      </c>
      <c r="Z54" s="58">
        <f t="shared" si="53"/>
        <v>9790105.9199999999</v>
      </c>
      <c r="AA54" s="58">
        <f t="shared" si="53"/>
        <v>9790105.9199999999</v>
      </c>
    </row>
    <row r="55" spans="2:27" x14ac:dyDescent="0.3">
      <c r="B55" s="77" t="s">
        <v>23</v>
      </c>
      <c r="C55" s="75"/>
      <c r="D55" s="75"/>
      <c r="E55" s="75"/>
      <c r="F55" s="75"/>
      <c r="G55" s="61"/>
      <c r="H55" s="61"/>
      <c r="I55" s="61"/>
      <c r="J55" s="61"/>
      <c r="K55" s="61"/>
      <c r="L55" s="61"/>
      <c r="M55" s="61"/>
      <c r="N55" s="61"/>
      <c r="O55" s="61"/>
      <c r="P55" s="61"/>
      <c r="Q55" s="61"/>
      <c r="R55" s="61"/>
      <c r="S55" s="61"/>
      <c r="T55" s="61"/>
      <c r="U55" s="61"/>
      <c r="V55" s="61"/>
      <c r="W55" s="61"/>
      <c r="X55" s="61"/>
      <c r="Y55" s="61"/>
      <c r="Z55" s="61"/>
      <c r="AA55" s="61"/>
    </row>
    <row r="56" spans="2:27" x14ac:dyDescent="0.3">
      <c r="B56" s="76" t="s">
        <v>239</v>
      </c>
      <c r="C56" s="390">
        <v>2019</v>
      </c>
      <c r="D56" s="426">
        <v>136.4</v>
      </c>
      <c r="E56" s="426">
        <v>0.7</v>
      </c>
      <c r="F56" s="434">
        <f>+'GHG-ER'!J29</f>
        <v>0.38170767905185599</v>
      </c>
      <c r="G56" s="49">
        <f t="shared" ref="G56:V56" si="54">+IF($C56&lt;=G$52,$D56*8760*$E56,0)</f>
        <v>0</v>
      </c>
      <c r="H56" s="49">
        <f t="shared" si="54"/>
        <v>0</v>
      </c>
      <c r="I56" s="49">
        <f t="shared" si="54"/>
        <v>0</v>
      </c>
      <c r="J56" s="49">
        <f t="shared" si="54"/>
        <v>0</v>
      </c>
      <c r="K56" s="49">
        <f t="shared" si="54"/>
        <v>0</v>
      </c>
      <c r="L56" s="49">
        <f t="shared" si="54"/>
        <v>0</v>
      </c>
      <c r="M56" s="49">
        <f t="shared" si="54"/>
        <v>0</v>
      </c>
      <c r="N56" s="49">
        <f t="shared" si="54"/>
        <v>0</v>
      </c>
      <c r="O56" s="49">
        <f t="shared" si="54"/>
        <v>0</v>
      </c>
      <c r="P56" s="49">
        <f t="shared" si="54"/>
        <v>836404.79999999993</v>
      </c>
      <c r="Q56" s="49">
        <f t="shared" si="54"/>
        <v>836404.79999999993</v>
      </c>
      <c r="R56" s="49">
        <f t="shared" si="54"/>
        <v>836404.79999999993</v>
      </c>
      <c r="S56" s="49">
        <f t="shared" si="54"/>
        <v>836404.79999999993</v>
      </c>
      <c r="T56" s="49">
        <f t="shared" si="54"/>
        <v>836404.79999999993</v>
      </c>
      <c r="U56" s="49">
        <f t="shared" si="54"/>
        <v>836404.79999999993</v>
      </c>
      <c r="V56" s="49">
        <f t="shared" si="54"/>
        <v>836404.79999999993</v>
      </c>
      <c r="W56" s="49">
        <f t="shared" ref="W56:AA56" si="55">+IF($C56&lt;=W$52,$D56*8760*$E56,0)</f>
        <v>836404.79999999993</v>
      </c>
      <c r="X56" s="49">
        <f t="shared" si="55"/>
        <v>836404.79999999993</v>
      </c>
      <c r="Y56" s="49">
        <f t="shared" si="55"/>
        <v>836404.79999999993</v>
      </c>
      <c r="Z56" s="49">
        <f t="shared" si="55"/>
        <v>836404.79999999993</v>
      </c>
      <c r="AA56" s="49">
        <f t="shared" si="55"/>
        <v>836404.79999999993</v>
      </c>
    </row>
    <row r="57" spans="2:27" x14ac:dyDescent="0.3">
      <c r="B57" s="76" t="s">
        <v>240</v>
      </c>
      <c r="C57" s="390">
        <v>2019</v>
      </c>
      <c r="D57" s="426">
        <v>136.4</v>
      </c>
      <c r="E57" s="426">
        <v>0.7</v>
      </c>
      <c r="F57" s="434">
        <f>+'GHG-ER'!J30</f>
        <v>0.38170767905185599</v>
      </c>
      <c r="G57" s="49">
        <f t="shared" ref="G57:AA74" si="56">+IF($C57&lt;=G$52,$D57*8760*$E57,0)</f>
        <v>0</v>
      </c>
      <c r="H57" s="49">
        <f t="shared" si="56"/>
        <v>0</v>
      </c>
      <c r="I57" s="49">
        <f t="shared" si="56"/>
        <v>0</v>
      </c>
      <c r="J57" s="49">
        <f t="shared" si="56"/>
        <v>0</v>
      </c>
      <c r="K57" s="49">
        <f t="shared" si="56"/>
        <v>0</v>
      </c>
      <c r="L57" s="49">
        <f t="shared" si="56"/>
        <v>0</v>
      </c>
      <c r="M57" s="49">
        <f t="shared" si="56"/>
        <v>0</v>
      </c>
      <c r="N57" s="49">
        <f t="shared" si="56"/>
        <v>0</v>
      </c>
      <c r="O57" s="49">
        <f t="shared" si="56"/>
        <v>0</v>
      </c>
      <c r="P57" s="49">
        <f t="shared" si="56"/>
        <v>836404.79999999993</v>
      </c>
      <c r="Q57" s="49">
        <f t="shared" si="56"/>
        <v>836404.79999999993</v>
      </c>
      <c r="R57" s="49">
        <f t="shared" si="56"/>
        <v>836404.79999999993</v>
      </c>
      <c r="S57" s="49">
        <f t="shared" si="56"/>
        <v>836404.79999999993</v>
      </c>
      <c r="T57" s="49">
        <f t="shared" si="56"/>
        <v>836404.79999999993</v>
      </c>
      <c r="U57" s="49">
        <f t="shared" si="56"/>
        <v>836404.79999999993</v>
      </c>
      <c r="V57" s="49">
        <f t="shared" si="56"/>
        <v>836404.79999999993</v>
      </c>
      <c r="W57" s="49">
        <f t="shared" si="56"/>
        <v>836404.79999999993</v>
      </c>
      <c r="X57" s="49">
        <f t="shared" si="56"/>
        <v>836404.79999999993</v>
      </c>
      <c r="Y57" s="49">
        <f t="shared" si="56"/>
        <v>836404.79999999993</v>
      </c>
      <c r="Z57" s="49">
        <f t="shared" si="56"/>
        <v>836404.79999999993</v>
      </c>
      <c r="AA57" s="49">
        <f t="shared" si="56"/>
        <v>836404.79999999993</v>
      </c>
    </row>
    <row r="58" spans="2:27" x14ac:dyDescent="0.3">
      <c r="B58" s="76" t="s">
        <v>241</v>
      </c>
      <c r="C58" s="390">
        <v>2019</v>
      </c>
      <c r="D58" s="426">
        <v>136.4</v>
      </c>
      <c r="E58" s="426">
        <v>0.7</v>
      </c>
      <c r="F58" s="434">
        <f>+'GHG-ER'!J31</f>
        <v>0.38170767905185599</v>
      </c>
      <c r="G58" s="49">
        <f t="shared" si="56"/>
        <v>0</v>
      </c>
      <c r="H58" s="49">
        <f t="shared" si="56"/>
        <v>0</v>
      </c>
      <c r="I58" s="49">
        <f t="shared" si="56"/>
        <v>0</v>
      </c>
      <c r="J58" s="49">
        <f t="shared" si="56"/>
        <v>0</v>
      </c>
      <c r="K58" s="49">
        <f t="shared" si="56"/>
        <v>0</v>
      </c>
      <c r="L58" s="49">
        <f t="shared" si="56"/>
        <v>0</v>
      </c>
      <c r="M58" s="49">
        <f t="shared" si="56"/>
        <v>0</v>
      </c>
      <c r="N58" s="49">
        <f t="shared" si="56"/>
        <v>0</v>
      </c>
      <c r="O58" s="49">
        <f t="shared" si="56"/>
        <v>0</v>
      </c>
      <c r="P58" s="49">
        <f t="shared" si="56"/>
        <v>836404.79999999993</v>
      </c>
      <c r="Q58" s="49">
        <f t="shared" si="56"/>
        <v>836404.79999999993</v>
      </c>
      <c r="R58" s="49">
        <f t="shared" si="56"/>
        <v>836404.79999999993</v>
      </c>
      <c r="S58" s="49">
        <f t="shared" si="56"/>
        <v>836404.79999999993</v>
      </c>
      <c r="T58" s="49">
        <f t="shared" si="56"/>
        <v>836404.79999999993</v>
      </c>
      <c r="U58" s="49">
        <f t="shared" si="56"/>
        <v>836404.79999999993</v>
      </c>
      <c r="V58" s="49">
        <f t="shared" si="56"/>
        <v>836404.79999999993</v>
      </c>
      <c r="W58" s="49">
        <f t="shared" si="56"/>
        <v>836404.79999999993</v>
      </c>
      <c r="X58" s="49">
        <f t="shared" si="56"/>
        <v>836404.79999999993</v>
      </c>
      <c r="Y58" s="49">
        <f t="shared" si="56"/>
        <v>836404.79999999993</v>
      </c>
      <c r="Z58" s="49">
        <f t="shared" si="56"/>
        <v>836404.79999999993</v>
      </c>
      <c r="AA58" s="49">
        <f>+IF($C58&lt;=AA$52,$D58*8760*$E58,0)</f>
        <v>836404.79999999993</v>
      </c>
    </row>
    <row r="59" spans="2:27" x14ac:dyDescent="0.3">
      <c r="B59" s="77" t="s">
        <v>24</v>
      </c>
      <c r="C59" s="75"/>
      <c r="D59" s="75"/>
      <c r="E59" s="75"/>
      <c r="F59" s="75"/>
      <c r="G59" s="61"/>
      <c r="H59" s="61"/>
      <c r="I59" s="61"/>
      <c r="J59" s="61"/>
      <c r="K59" s="61"/>
      <c r="L59" s="61"/>
      <c r="M59" s="61"/>
      <c r="N59" s="61"/>
      <c r="O59" s="61"/>
      <c r="P59" s="61"/>
      <c r="Q59" s="61"/>
      <c r="R59" s="61"/>
      <c r="S59" s="61"/>
      <c r="T59" s="61"/>
      <c r="U59" s="61"/>
      <c r="V59" s="61"/>
      <c r="W59" s="61"/>
      <c r="X59" s="61"/>
      <c r="Y59" s="61"/>
      <c r="Z59" s="61"/>
      <c r="AA59" s="61"/>
    </row>
    <row r="60" spans="2:27" x14ac:dyDescent="0.3">
      <c r="B60" s="76" t="s">
        <v>451</v>
      </c>
      <c r="C60" s="390">
        <v>2020</v>
      </c>
      <c r="D60" s="426">
        <v>132.69</v>
      </c>
      <c r="E60" s="426">
        <v>0.7</v>
      </c>
      <c r="F60" s="434">
        <f>+F62</f>
        <v>0.38170767905185599</v>
      </c>
      <c r="G60" s="49">
        <f t="shared" si="56"/>
        <v>0</v>
      </c>
      <c r="H60" s="49">
        <f t="shared" si="56"/>
        <v>0</v>
      </c>
      <c r="I60" s="49">
        <f t="shared" si="56"/>
        <v>0</v>
      </c>
      <c r="J60" s="49">
        <f t="shared" si="56"/>
        <v>0</v>
      </c>
      <c r="K60" s="49">
        <f t="shared" si="56"/>
        <v>0</v>
      </c>
      <c r="L60" s="49">
        <f t="shared" si="56"/>
        <v>0</v>
      </c>
      <c r="M60" s="49">
        <f t="shared" si="56"/>
        <v>0</v>
      </c>
      <c r="N60" s="49">
        <f t="shared" si="56"/>
        <v>0</v>
      </c>
      <c r="O60" s="49">
        <f t="shared" si="56"/>
        <v>0</v>
      </c>
      <c r="P60" s="49">
        <f t="shared" si="56"/>
        <v>0</v>
      </c>
      <c r="Q60" s="49">
        <f t="shared" si="56"/>
        <v>813655.07999999984</v>
      </c>
      <c r="R60" s="49">
        <f t="shared" si="56"/>
        <v>813655.07999999984</v>
      </c>
      <c r="S60" s="49">
        <f t="shared" si="56"/>
        <v>813655.07999999984</v>
      </c>
      <c r="T60" s="49">
        <f t="shared" si="56"/>
        <v>813655.07999999984</v>
      </c>
      <c r="U60" s="49">
        <f t="shared" si="56"/>
        <v>813655.07999999984</v>
      </c>
      <c r="V60" s="49">
        <f t="shared" si="56"/>
        <v>813655.07999999984</v>
      </c>
      <c r="W60" s="49">
        <f t="shared" si="56"/>
        <v>813655.07999999984</v>
      </c>
      <c r="X60" s="49">
        <f t="shared" si="56"/>
        <v>813655.07999999984</v>
      </c>
      <c r="Y60" s="49">
        <f t="shared" si="56"/>
        <v>813655.07999999984</v>
      </c>
      <c r="Z60" s="49">
        <f t="shared" si="56"/>
        <v>813655.07999999984</v>
      </c>
      <c r="AA60" s="49">
        <f t="shared" si="56"/>
        <v>813655.07999999984</v>
      </c>
    </row>
    <row r="61" spans="2:27" x14ac:dyDescent="0.3">
      <c r="B61" s="76" t="s">
        <v>450</v>
      </c>
      <c r="C61" s="390">
        <v>2020</v>
      </c>
      <c r="D61" s="426">
        <v>132.69</v>
      </c>
      <c r="E61" s="426">
        <v>0.7</v>
      </c>
      <c r="F61" s="434">
        <f>+F62</f>
        <v>0.38170767905185599</v>
      </c>
      <c r="G61" s="49">
        <f t="shared" si="56"/>
        <v>0</v>
      </c>
      <c r="H61" s="49">
        <f t="shared" si="56"/>
        <v>0</v>
      </c>
      <c r="I61" s="49">
        <f t="shared" si="56"/>
        <v>0</v>
      </c>
      <c r="J61" s="49">
        <f t="shared" si="56"/>
        <v>0</v>
      </c>
      <c r="K61" s="49">
        <f t="shared" si="56"/>
        <v>0</v>
      </c>
      <c r="L61" s="49">
        <f t="shared" si="56"/>
        <v>0</v>
      </c>
      <c r="M61" s="49">
        <f t="shared" si="56"/>
        <v>0</v>
      </c>
      <c r="N61" s="49">
        <f t="shared" si="56"/>
        <v>0</v>
      </c>
      <c r="O61" s="49">
        <f t="shared" si="56"/>
        <v>0</v>
      </c>
      <c r="P61" s="49">
        <f t="shared" si="56"/>
        <v>0</v>
      </c>
      <c r="Q61" s="49">
        <f t="shared" si="56"/>
        <v>813655.07999999984</v>
      </c>
      <c r="R61" s="49">
        <f t="shared" si="56"/>
        <v>813655.07999999984</v>
      </c>
      <c r="S61" s="49">
        <f t="shared" si="56"/>
        <v>813655.07999999984</v>
      </c>
      <c r="T61" s="49">
        <f t="shared" si="56"/>
        <v>813655.07999999984</v>
      </c>
      <c r="U61" s="49">
        <f t="shared" si="56"/>
        <v>813655.07999999984</v>
      </c>
      <c r="V61" s="49">
        <f t="shared" si="56"/>
        <v>813655.07999999984</v>
      </c>
      <c r="W61" s="49">
        <f t="shared" si="56"/>
        <v>813655.07999999984</v>
      </c>
      <c r="X61" s="49">
        <f t="shared" si="56"/>
        <v>813655.07999999984</v>
      </c>
      <c r="Y61" s="49">
        <f t="shared" si="56"/>
        <v>813655.07999999984</v>
      </c>
      <c r="Z61" s="49">
        <f t="shared" si="56"/>
        <v>813655.07999999984</v>
      </c>
      <c r="AA61" s="49">
        <f t="shared" si="56"/>
        <v>813655.07999999984</v>
      </c>
    </row>
    <row r="62" spans="2:27" x14ac:dyDescent="0.3">
      <c r="B62" s="76" t="s">
        <v>235</v>
      </c>
      <c r="C62" s="390">
        <v>2020</v>
      </c>
      <c r="D62" s="426">
        <v>132.69</v>
      </c>
      <c r="E62" s="426">
        <v>0.7</v>
      </c>
      <c r="F62" s="434">
        <f>+'GHG-ER'!J25</f>
        <v>0.38170767905185599</v>
      </c>
      <c r="G62" s="49">
        <f t="shared" si="56"/>
        <v>0</v>
      </c>
      <c r="H62" s="49">
        <f t="shared" si="56"/>
        <v>0</v>
      </c>
      <c r="I62" s="49">
        <f t="shared" si="56"/>
        <v>0</v>
      </c>
      <c r="J62" s="49">
        <f t="shared" si="56"/>
        <v>0</v>
      </c>
      <c r="K62" s="49">
        <f t="shared" si="56"/>
        <v>0</v>
      </c>
      <c r="L62" s="49">
        <f t="shared" si="56"/>
        <v>0</v>
      </c>
      <c r="M62" s="49">
        <f t="shared" si="56"/>
        <v>0</v>
      </c>
      <c r="N62" s="49">
        <f t="shared" si="56"/>
        <v>0</v>
      </c>
      <c r="O62" s="49">
        <f t="shared" si="56"/>
        <v>0</v>
      </c>
      <c r="P62" s="49">
        <f t="shared" si="56"/>
        <v>0</v>
      </c>
      <c r="Q62" s="49">
        <f t="shared" si="56"/>
        <v>813655.07999999984</v>
      </c>
      <c r="R62" s="49">
        <f t="shared" si="56"/>
        <v>813655.07999999984</v>
      </c>
      <c r="S62" s="49">
        <f t="shared" si="56"/>
        <v>813655.07999999984</v>
      </c>
      <c r="T62" s="49">
        <f t="shared" si="56"/>
        <v>813655.07999999984</v>
      </c>
      <c r="U62" s="49">
        <f t="shared" si="56"/>
        <v>813655.07999999984</v>
      </c>
      <c r="V62" s="49">
        <f t="shared" si="56"/>
        <v>813655.07999999984</v>
      </c>
      <c r="W62" s="49">
        <f t="shared" si="56"/>
        <v>813655.07999999984</v>
      </c>
      <c r="X62" s="49">
        <f t="shared" si="56"/>
        <v>813655.07999999984</v>
      </c>
      <c r="Y62" s="49">
        <f t="shared" si="56"/>
        <v>813655.07999999984</v>
      </c>
      <c r="Z62" s="49">
        <f t="shared" si="56"/>
        <v>813655.07999999984</v>
      </c>
      <c r="AA62" s="49">
        <f t="shared" si="56"/>
        <v>813655.07999999984</v>
      </c>
    </row>
    <row r="63" spans="2:27" x14ac:dyDescent="0.3">
      <c r="B63" s="76" t="s">
        <v>236</v>
      </c>
      <c r="C63" s="390">
        <v>2020</v>
      </c>
      <c r="D63" s="426">
        <v>132.69</v>
      </c>
      <c r="E63" s="426">
        <v>0.7</v>
      </c>
      <c r="F63" s="434">
        <f>+'GHG-ER'!J26</f>
        <v>0.38170767905185599</v>
      </c>
      <c r="G63" s="49">
        <f t="shared" si="56"/>
        <v>0</v>
      </c>
      <c r="H63" s="49">
        <f t="shared" si="56"/>
        <v>0</v>
      </c>
      <c r="I63" s="49">
        <f t="shared" si="56"/>
        <v>0</v>
      </c>
      <c r="J63" s="49">
        <f t="shared" si="56"/>
        <v>0</v>
      </c>
      <c r="K63" s="49">
        <f t="shared" si="56"/>
        <v>0</v>
      </c>
      <c r="L63" s="49">
        <f t="shared" si="56"/>
        <v>0</v>
      </c>
      <c r="M63" s="49">
        <f t="shared" si="56"/>
        <v>0</v>
      </c>
      <c r="N63" s="49">
        <f t="shared" si="56"/>
        <v>0</v>
      </c>
      <c r="O63" s="49">
        <f t="shared" si="56"/>
        <v>0</v>
      </c>
      <c r="P63" s="49">
        <f t="shared" si="56"/>
        <v>0</v>
      </c>
      <c r="Q63" s="49">
        <f t="shared" si="56"/>
        <v>813655.07999999984</v>
      </c>
      <c r="R63" s="49">
        <f t="shared" si="56"/>
        <v>813655.07999999984</v>
      </c>
      <c r="S63" s="49">
        <f t="shared" si="56"/>
        <v>813655.07999999984</v>
      </c>
      <c r="T63" s="49">
        <f t="shared" si="56"/>
        <v>813655.07999999984</v>
      </c>
      <c r="U63" s="49">
        <f t="shared" si="56"/>
        <v>813655.07999999984</v>
      </c>
      <c r="V63" s="49">
        <f t="shared" si="56"/>
        <v>813655.07999999984</v>
      </c>
      <c r="W63" s="49">
        <f t="shared" si="56"/>
        <v>813655.07999999984</v>
      </c>
      <c r="X63" s="49">
        <f t="shared" si="56"/>
        <v>813655.07999999984</v>
      </c>
      <c r="Y63" s="49">
        <f t="shared" si="56"/>
        <v>813655.07999999984</v>
      </c>
      <c r="Z63" s="49">
        <f t="shared" si="56"/>
        <v>813655.07999999984</v>
      </c>
      <c r="AA63" s="49">
        <f t="shared" si="56"/>
        <v>813655.07999999984</v>
      </c>
    </row>
    <row r="64" spans="2:27" x14ac:dyDescent="0.3">
      <c r="B64" s="77" t="s">
        <v>25</v>
      </c>
      <c r="C64" s="75"/>
      <c r="D64" s="75"/>
      <c r="E64" s="75"/>
      <c r="F64" s="75"/>
      <c r="G64" s="61"/>
      <c r="H64" s="61"/>
      <c r="I64" s="61"/>
      <c r="J64" s="61"/>
      <c r="K64" s="61"/>
      <c r="L64" s="61"/>
      <c r="M64" s="61"/>
      <c r="N64" s="61"/>
      <c r="O64" s="61"/>
      <c r="P64" s="61"/>
      <c r="Q64" s="61"/>
      <c r="R64" s="61"/>
      <c r="S64" s="61"/>
      <c r="T64" s="61"/>
      <c r="U64" s="61"/>
      <c r="V64" s="61"/>
      <c r="W64" s="61"/>
      <c r="X64" s="61"/>
      <c r="Y64" s="61"/>
      <c r="Z64" s="61"/>
      <c r="AA64" s="61"/>
    </row>
    <row r="65" spans="2:27" x14ac:dyDescent="0.3">
      <c r="B65" s="76" t="s">
        <v>449</v>
      </c>
      <c r="C65" s="390">
        <v>2020</v>
      </c>
      <c r="D65" s="426">
        <v>135.15</v>
      </c>
      <c r="E65" s="426">
        <v>0.7</v>
      </c>
      <c r="F65" s="434">
        <f>+F67</f>
        <v>0.54706304313422083</v>
      </c>
      <c r="G65" s="49">
        <f t="shared" si="56"/>
        <v>0</v>
      </c>
      <c r="H65" s="49">
        <f t="shared" si="56"/>
        <v>0</v>
      </c>
      <c r="I65" s="49">
        <f t="shared" si="56"/>
        <v>0</v>
      </c>
      <c r="J65" s="49">
        <f t="shared" si="56"/>
        <v>0</v>
      </c>
      <c r="K65" s="49">
        <f t="shared" si="56"/>
        <v>0</v>
      </c>
      <c r="L65" s="49">
        <f t="shared" si="56"/>
        <v>0</v>
      </c>
      <c r="M65" s="49">
        <f t="shared" si="56"/>
        <v>0</v>
      </c>
      <c r="N65" s="49">
        <f t="shared" si="56"/>
        <v>0</v>
      </c>
      <c r="O65" s="49">
        <f t="shared" si="56"/>
        <v>0</v>
      </c>
      <c r="P65" s="49">
        <f t="shared" si="56"/>
        <v>0</v>
      </c>
      <c r="Q65" s="49">
        <f t="shared" si="56"/>
        <v>828739.79999999993</v>
      </c>
      <c r="R65" s="49">
        <f t="shared" si="56"/>
        <v>828739.79999999993</v>
      </c>
      <c r="S65" s="49">
        <f t="shared" si="56"/>
        <v>828739.79999999993</v>
      </c>
      <c r="T65" s="49">
        <f t="shared" si="56"/>
        <v>828739.79999999993</v>
      </c>
      <c r="U65" s="49">
        <f t="shared" si="56"/>
        <v>828739.79999999993</v>
      </c>
      <c r="V65" s="49">
        <f t="shared" si="56"/>
        <v>828739.79999999993</v>
      </c>
      <c r="W65" s="49">
        <f t="shared" si="56"/>
        <v>828739.79999999993</v>
      </c>
      <c r="X65" s="49">
        <f t="shared" si="56"/>
        <v>828739.79999999993</v>
      </c>
      <c r="Y65" s="49">
        <f t="shared" si="56"/>
        <v>828739.79999999993</v>
      </c>
      <c r="Z65" s="49">
        <f t="shared" si="56"/>
        <v>828739.79999999993</v>
      </c>
      <c r="AA65" s="49">
        <f t="shared" si="56"/>
        <v>828739.79999999993</v>
      </c>
    </row>
    <row r="66" spans="2:27" x14ac:dyDescent="0.3">
      <c r="B66" s="76" t="s">
        <v>448</v>
      </c>
      <c r="C66" s="390">
        <v>2020</v>
      </c>
      <c r="D66" s="426">
        <v>135.15</v>
      </c>
      <c r="E66" s="426">
        <v>0.7</v>
      </c>
      <c r="F66" s="434">
        <f>+F67</f>
        <v>0.54706304313422083</v>
      </c>
      <c r="G66" s="49">
        <f t="shared" si="56"/>
        <v>0</v>
      </c>
      <c r="H66" s="49">
        <f t="shared" si="56"/>
        <v>0</v>
      </c>
      <c r="I66" s="49">
        <f t="shared" si="56"/>
        <v>0</v>
      </c>
      <c r="J66" s="49">
        <f t="shared" si="56"/>
        <v>0</v>
      </c>
      <c r="K66" s="49">
        <f t="shared" si="56"/>
        <v>0</v>
      </c>
      <c r="L66" s="49">
        <f t="shared" si="56"/>
        <v>0</v>
      </c>
      <c r="M66" s="49">
        <f t="shared" si="56"/>
        <v>0</v>
      </c>
      <c r="N66" s="49">
        <f t="shared" si="56"/>
        <v>0</v>
      </c>
      <c r="O66" s="49">
        <f t="shared" si="56"/>
        <v>0</v>
      </c>
      <c r="P66" s="49">
        <f t="shared" si="56"/>
        <v>0</v>
      </c>
      <c r="Q66" s="49">
        <f t="shared" si="56"/>
        <v>828739.79999999993</v>
      </c>
      <c r="R66" s="49">
        <f t="shared" si="56"/>
        <v>828739.79999999993</v>
      </c>
      <c r="S66" s="49">
        <f t="shared" si="56"/>
        <v>828739.79999999993</v>
      </c>
      <c r="T66" s="49">
        <f t="shared" si="56"/>
        <v>828739.79999999993</v>
      </c>
      <c r="U66" s="49">
        <f t="shared" si="56"/>
        <v>828739.79999999993</v>
      </c>
      <c r="V66" s="49">
        <f t="shared" si="56"/>
        <v>828739.79999999993</v>
      </c>
      <c r="W66" s="49">
        <f t="shared" si="56"/>
        <v>828739.79999999993</v>
      </c>
      <c r="X66" s="49">
        <f t="shared" si="56"/>
        <v>828739.79999999993</v>
      </c>
      <c r="Y66" s="49">
        <f t="shared" si="56"/>
        <v>828739.79999999993</v>
      </c>
      <c r="Z66" s="49">
        <f t="shared" si="56"/>
        <v>828739.79999999993</v>
      </c>
      <c r="AA66" s="49">
        <f t="shared" si="56"/>
        <v>828739.79999999993</v>
      </c>
    </row>
    <row r="67" spans="2:27" x14ac:dyDescent="0.3">
      <c r="B67" s="76" t="s">
        <v>237</v>
      </c>
      <c r="C67" s="390">
        <v>2020</v>
      </c>
      <c r="D67" s="426">
        <v>135.15</v>
      </c>
      <c r="E67" s="426">
        <v>0.7</v>
      </c>
      <c r="F67" s="434">
        <f>+'GHG-ER'!J22</f>
        <v>0.54706304313422083</v>
      </c>
      <c r="G67" s="49">
        <f t="shared" si="56"/>
        <v>0</v>
      </c>
      <c r="H67" s="49">
        <f t="shared" si="56"/>
        <v>0</v>
      </c>
      <c r="I67" s="49">
        <f t="shared" si="56"/>
        <v>0</v>
      </c>
      <c r="J67" s="49">
        <f t="shared" si="56"/>
        <v>0</v>
      </c>
      <c r="K67" s="49">
        <f t="shared" si="56"/>
        <v>0</v>
      </c>
      <c r="L67" s="49">
        <f t="shared" si="56"/>
        <v>0</v>
      </c>
      <c r="M67" s="49">
        <f t="shared" si="56"/>
        <v>0</v>
      </c>
      <c r="N67" s="49">
        <f t="shared" si="56"/>
        <v>0</v>
      </c>
      <c r="O67" s="49">
        <f t="shared" si="56"/>
        <v>0</v>
      </c>
      <c r="P67" s="49">
        <f t="shared" si="56"/>
        <v>0</v>
      </c>
      <c r="Q67" s="49">
        <f t="shared" si="56"/>
        <v>828739.79999999993</v>
      </c>
      <c r="R67" s="49">
        <f t="shared" si="56"/>
        <v>828739.79999999993</v>
      </c>
      <c r="S67" s="49">
        <f t="shared" si="56"/>
        <v>828739.79999999993</v>
      </c>
      <c r="T67" s="49">
        <f t="shared" si="56"/>
        <v>828739.79999999993</v>
      </c>
      <c r="U67" s="49">
        <f t="shared" si="56"/>
        <v>828739.79999999993</v>
      </c>
      <c r="V67" s="49">
        <f t="shared" si="56"/>
        <v>828739.79999999993</v>
      </c>
      <c r="W67" s="49">
        <f t="shared" si="56"/>
        <v>828739.79999999993</v>
      </c>
      <c r="X67" s="49">
        <f t="shared" si="56"/>
        <v>828739.79999999993</v>
      </c>
      <c r="Y67" s="49">
        <f t="shared" si="56"/>
        <v>828739.79999999993</v>
      </c>
      <c r="Z67" s="49">
        <f t="shared" si="56"/>
        <v>828739.79999999993</v>
      </c>
      <c r="AA67" s="49">
        <f t="shared" si="56"/>
        <v>828739.79999999993</v>
      </c>
    </row>
    <row r="68" spans="2:27" x14ac:dyDescent="0.3">
      <c r="B68" s="76" t="s">
        <v>238</v>
      </c>
      <c r="C68" s="390">
        <v>2020</v>
      </c>
      <c r="D68" s="426">
        <v>135.15</v>
      </c>
      <c r="E68" s="426">
        <v>0.7</v>
      </c>
      <c r="F68" s="434">
        <f>+'GHG-ER'!J23</f>
        <v>0.47587092088835747</v>
      </c>
      <c r="G68" s="49">
        <f t="shared" si="56"/>
        <v>0</v>
      </c>
      <c r="H68" s="49">
        <f t="shared" si="56"/>
        <v>0</v>
      </c>
      <c r="I68" s="49">
        <f t="shared" si="56"/>
        <v>0</v>
      </c>
      <c r="J68" s="49">
        <f t="shared" si="56"/>
        <v>0</v>
      </c>
      <c r="K68" s="49">
        <f t="shared" si="56"/>
        <v>0</v>
      </c>
      <c r="L68" s="49">
        <f t="shared" si="56"/>
        <v>0</v>
      </c>
      <c r="M68" s="49">
        <f t="shared" si="56"/>
        <v>0</v>
      </c>
      <c r="N68" s="49">
        <f t="shared" si="56"/>
        <v>0</v>
      </c>
      <c r="O68" s="49">
        <f t="shared" si="56"/>
        <v>0</v>
      </c>
      <c r="P68" s="49">
        <f t="shared" si="56"/>
        <v>0</v>
      </c>
      <c r="Q68" s="49">
        <f t="shared" si="56"/>
        <v>828739.79999999993</v>
      </c>
      <c r="R68" s="49">
        <f t="shared" si="56"/>
        <v>828739.79999999993</v>
      </c>
      <c r="S68" s="49">
        <f t="shared" si="56"/>
        <v>828739.79999999993</v>
      </c>
      <c r="T68" s="49">
        <f t="shared" si="56"/>
        <v>828739.79999999993</v>
      </c>
      <c r="U68" s="49">
        <f t="shared" si="56"/>
        <v>828739.79999999993</v>
      </c>
      <c r="V68" s="49">
        <f t="shared" si="56"/>
        <v>828739.79999999993</v>
      </c>
      <c r="W68" s="49">
        <f t="shared" si="56"/>
        <v>828739.79999999993</v>
      </c>
      <c r="X68" s="49">
        <f t="shared" si="56"/>
        <v>828739.79999999993</v>
      </c>
      <c r="Y68" s="49">
        <f t="shared" si="56"/>
        <v>828739.79999999993</v>
      </c>
      <c r="Z68" s="49">
        <f t="shared" si="56"/>
        <v>828739.79999999993</v>
      </c>
      <c r="AA68" s="49">
        <f t="shared" si="56"/>
        <v>828739.79999999993</v>
      </c>
    </row>
    <row r="69" spans="2:27" x14ac:dyDescent="0.3">
      <c r="B69" s="77" t="s">
        <v>16</v>
      </c>
      <c r="C69" s="75"/>
      <c r="D69" s="75"/>
      <c r="E69" s="75"/>
      <c r="F69" s="75"/>
      <c r="G69" s="61"/>
      <c r="H69" s="61"/>
      <c r="I69" s="61"/>
      <c r="J69" s="61"/>
      <c r="K69" s="61"/>
      <c r="L69" s="61"/>
      <c r="M69" s="61"/>
      <c r="N69" s="61"/>
      <c r="O69" s="61"/>
      <c r="P69" s="61"/>
      <c r="Q69" s="61"/>
      <c r="R69" s="61"/>
      <c r="S69" s="61"/>
      <c r="T69" s="61"/>
      <c r="U69" s="61"/>
      <c r="V69" s="61"/>
      <c r="W69" s="61"/>
      <c r="X69" s="61"/>
      <c r="Y69" s="61"/>
      <c r="Z69" s="61"/>
      <c r="AA69" s="61"/>
    </row>
    <row r="70" spans="2:27" x14ac:dyDescent="0.3">
      <c r="B70" s="76" t="str">
        <f>+B69</f>
        <v>Guaracachi</v>
      </c>
      <c r="C70" s="390">
        <v>2020</v>
      </c>
      <c r="D70" s="426">
        <v>36</v>
      </c>
      <c r="E70" s="426">
        <v>0.7</v>
      </c>
      <c r="F70" s="434">
        <v>0.38</v>
      </c>
      <c r="G70" s="49">
        <f t="shared" si="56"/>
        <v>0</v>
      </c>
      <c r="H70" s="49">
        <f t="shared" si="56"/>
        <v>0</v>
      </c>
      <c r="I70" s="49">
        <f t="shared" si="56"/>
        <v>0</v>
      </c>
      <c r="J70" s="49">
        <f t="shared" si="56"/>
        <v>0</v>
      </c>
      <c r="K70" s="49">
        <f t="shared" si="56"/>
        <v>0</v>
      </c>
      <c r="L70" s="49">
        <f t="shared" si="56"/>
        <v>0</v>
      </c>
      <c r="M70" s="49">
        <f t="shared" si="56"/>
        <v>0</v>
      </c>
      <c r="N70" s="49">
        <f t="shared" si="56"/>
        <v>0</v>
      </c>
      <c r="O70" s="49">
        <f t="shared" si="56"/>
        <v>0</v>
      </c>
      <c r="P70" s="49">
        <f t="shared" si="56"/>
        <v>0</v>
      </c>
      <c r="Q70" s="49">
        <f t="shared" si="56"/>
        <v>220752</v>
      </c>
      <c r="R70" s="49">
        <f t="shared" si="56"/>
        <v>220752</v>
      </c>
      <c r="S70" s="49">
        <f t="shared" si="56"/>
        <v>220752</v>
      </c>
      <c r="T70" s="49">
        <f t="shared" si="56"/>
        <v>220752</v>
      </c>
      <c r="U70" s="49">
        <f t="shared" si="56"/>
        <v>220752</v>
      </c>
      <c r="V70" s="49">
        <f t="shared" si="56"/>
        <v>220752</v>
      </c>
      <c r="W70" s="49">
        <f t="shared" si="56"/>
        <v>220752</v>
      </c>
      <c r="X70" s="49">
        <f t="shared" si="56"/>
        <v>220752</v>
      </c>
      <c r="Y70" s="49">
        <f t="shared" si="56"/>
        <v>220752</v>
      </c>
      <c r="Z70" s="49">
        <f t="shared" si="56"/>
        <v>220752</v>
      </c>
      <c r="AA70" s="49">
        <f t="shared" si="56"/>
        <v>220752</v>
      </c>
    </row>
    <row r="71" spans="2:27" x14ac:dyDescent="0.3">
      <c r="B71" s="77" t="s">
        <v>17</v>
      </c>
      <c r="C71" s="75"/>
      <c r="D71" s="75"/>
      <c r="E71" s="75"/>
      <c r="F71" s="75"/>
      <c r="G71" s="61"/>
      <c r="H71" s="61"/>
      <c r="I71" s="61"/>
      <c r="J71" s="61"/>
      <c r="K71" s="61"/>
      <c r="L71" s="61"/>
      <c r="M71" s="61"/>
      <c r="N71" s="61"/>
      <c r="O71" s="61"/>
      <c r="P71" s="61"/>
      <c r="Q71" s="61"/>
      <c r="R71" s="61"/>
      <c r="S71" s="61"/>
      <c r="T71" s="61"/>
      <c r="U71" s="61"/>
      <c r="V71" s="61"/>
      <c r="W71" s="61"/>
      <c r="X71" s="61"/>
      <c r="Y71" s="61"/>
      <c r="Z71" s="61"/>
      <c r="AA71" s="61"/>
    </row>
    <row r="72" spans="2:27" x14ac:dyDescent="0.3">
      <c r="B72" s="76" t="str">
        <f>+B71</f>
        <v>Santa Cruz</v>
      </c>
      <c r="C72" s="390">
        <v>2020</v>
      </c>
      <c r="D72" s="426">
        <v>28</v>
      </c>
      <c r="E72" s="426">
        <v>0.7</v>
      </c>
      <c r="F72" s="434">
        <f>+'GHG-ER'!J25</f>
        <v>0.38170767905185599</v>
      </c>
      <c r="G72" s="49">
        <f t="shared" si="56"/>
        <v>0</v>
      </c>
      <c r="H72" s="49">
        <f t="shared" si="56"/>
        <v>0</v>
      </c>
      <c r="I72" s="49">
        <f t="shared" si="56"/>
        <v>0</v>
      </c>
      <c r="J72" s="49">
        <f t="shared" si="56"/>
        <v>0</v>
      </c>
      <c r="K72" s="49">
        <f t="shared" si="56"/>
        <v>0</v>
      </c>
      <c r="L72" s="49">
        <f t="shared" si="56"/>
        <v>0</v>
      </c>
      <c r="M72" s="49">
        <f t="shared" si="56"/>
        <v>0</v>
      </c>
      <c r="N72" s="49">
        <f t="shared" si="56"/>
        <v>0</v>
      </c>
      <c r="O72" s="49">
        <f t="shared" si="56"/>
        <v>0</v>
      </c>
      <c r="P72" s="49">
        <f t="shared" si="56"/>
        <v>0</v>
      </c>
      <c r="Q72" s="49">
        <f t="shared" si="56"/>
        <v>171696</v>
      </c>
      <c r="R72" s="49">
        <f t="shared" si="56"/>
        <v>171696</v>
      </c>
      <c r="S72" s="49">
        <f t="shared" si="56"/>
        <v>171696</v>
      </c>
      <c r="T72" s="49">
        <f t="shared" si="56"/>
        <v>171696</v>
      </c>
      <c r="U72" s="49">
        <f t="shared" si="56"/>
        <v>171696</v>
      </c>
      <c r="V72" s="49">
        <f t="shared" si="56"/>
        <v>171696</v>
      </c>
      <c r="W72" s="49">
        <f t="shared" si="56"/>
        <v>171696</v>
      </c>
      <c r="X72" s="49">
        <f t="shared" si="56"/>
        <v>171696</v>
      </c>
      <c r="Y72" s="49">
        <f t="shared" si="56"/>
        <v>171696</v>
      </c>
      <c r="Z72" s="49">
        <f t="shared" si="56"/>
        <v>171696</v>
      </c>
      <c r="AA72" s="49">
        <f t="shared" si="56"/>
        <v>171696</v>
      </c>
    </row>
    <row r="73" spans="2:27" x14ac:dyDescent="0.3">
      <c r="B73" s="77" t="s">
        <v>18</v>
      </c>
      <c r="C73" s="75"/>
      <c r="D73" s="75"/>
      <c r="E73" s="75"/>
      <c r="F73" s="75"/>
      <c r="G73" s="61"/>
      <c r="H73" s="61"/>
      <c r="I73" s="61"/>
      <c r="J73" s="61"/>
      <c r="K73" s="61"/>
      <c r="L73" s="61"/>
      <c r="M73" s="61"/>
      <c r="N73" s="61"/>
      <c r="O73" s="61"/>
      <c r="P73" s="61"/>
      <c r="Q73" s="61"/>
      <c r="R73" s="61"/>
      <c r="S73" s="61"/>
      <c r="T73" s="61"/>
      <c r="U73" s="61"/>
      <c r="V73" s="61"/>
      <c r="W73" s="61"/>
      <c r="X73" s="61"/>
      <c r="Y73" s="61"/>
      <c r="Z73" s="61"/>
      <c r="AA73" s="61"/>
    </row>
    <row r="74" spans="2:27" x14ac:dyDescent="0.3">
      <c r="B74" s="76" t="str">
        <f>+B73</f>
        <v>Carrasco</v>
      </c>
      <c r="C74" s="390">
        <v>2020</v>
      </c>
      <c r="D74" s="426">
        <v>52</v>
      </c>
      <c r="E74" s="426">
        <v>0.7</v>
      </c>
      <c r="F74" s="434">
        <f>+'GHG-ER'!J25</f>
        <v>0.38170767905185599</v>
      </c>
      <c r="G74" s="49">
        <f t="shared" si="56"/>
        <v>0</v>
      </c>
      <c r="H74" s="49">
        <f t="shared" si="56"/>
        <v>0</v>
      </c>
      <c r="I74" s="49">
        <f t="shared" ref="I74:AA74" si="57">+IF($C74&lt;=I$52,$D74*8760*$E74,0)</f>
        <v>0</v>
      </c>
      <c r="J74" s="49">
        <f t="shared" si="57"/>
        <v>0</v>
      </c>
      <c r="K74" s="49">
        <f t="shared" si="57"/>
        <v>0</v>
      </c>
      <c r="L74" s="49">
        <f t="shared" si="57"/>
        <v>0</v>
      </c>
      <c r="M74" s="49">
        <f t="shared" si="57"/>
        <v>0</v>
      </c>
      <c r="N74" s="49">
        <f t="shared" si="57"/>
        <v>0</v>
      </c>
      <c r="O74" s="49">
        <f t="shared" si="57"/>
        <v>0</v>
      </c>
      <c r="P74" s="49">
        <f t="shared" si="57"/>
        <v>0</v>
      </c>
      <c r="Q74" s="49">
        <f t="shared" si="57"/>
        <v>318864</v>
      </c>
      <c r="R74" s="49">
        <f t="shared" si="57"/>
        <v>318864</v>
      </c>
      <c r="S74" s="49">
        <f t="shared" si="57"/>
        <v>318864</v>
      </c>
      <c r="T74" s="49">
        <f t="shared" si="57"/>
        <v>318864</v>
      </c>
      <c r="U74" s="49">
        <f t="shared" si="57"/>
        <v>318864</v>
      </c>
      <c r="V74" s="49">
        <f t="shared" si="57"/>
        <v>318864</v>
      </c>
      <c r="W74" s="49">
        <f t="shared" si="57"/>
        <v>318864</v>
      </c>
      <c r="X74" s="49">
        <f t="shared" si="57"/>
        <v>318864</v>
      </c>
      <c r="Y74" s="49">
        <f t="shared" si="57"/>
        <v>318864</v>
      </c>
      <c r="Z74" s="49">
        <f t="shared" si="57"/>
        <v>318864</v>
      </c>
      <c r="AA74" s="49">
        <f t="shared" si="57"/>
        <v>318864</v>
      </c>
    </row>
    <row r="75" spans="2:27" x14ac:dyDescent="0.3">
      <c r="B75" s="77" t="s">
        <v>479</v>
      </c>
      <c r="C75" s="75"/>
      <c r="D75" s="75"/>
      <c r="E75" s="75"/>
      <c r="F75" s="75"/>
      <c r="G75" s="61"/>
      <c r="H75" s="61"/>
      <c r="I75" s="61"/>
      <c r="J75" s="61"/>
      <c r="K75" s="61"/>
      <c r="L75" s="61"/>
      <c r="M75" s="61"/>
      <c r="N75" s="61"/>
      <c r="O75" s="61"/>
      <c r="P75" s="61"/>
      <c r="Q75" s="61"/>
      <c r="R75" s="61"/>
      <c r="S75" s="61"/>
      <c r="T75" s="61"/>
      <c r="U75" s="61"/>
      <c r="V75" s="61"/>
      <c r="W75" s="61"/>
      <c r="X75" s="61"/>
      <c r="Y75" s="61"/>
      <c r="Z75" s="61"/>
      <c r="AA75" s="61"/>
    </row>
    <row r="76" spans="2:27" x14ac:dyDescent="0.3">
      <c r="B76" s="76" t="str">
        <f>+B75</f>
        <v>Natural Gas A</v>
      </c>
      <c r="C76" s="390"/>
      <c r="D76" s="182"/>
      <c r="E76" s="59"/>
      <c r="F76" s="59"/>
      <c r="G76" s="49">
        <f t="shared" ref="G76:L78" si="58">+IF($C76&lt;=G$52,$D76*8760*$E76,0)</f>
        <v>0</v>
      </c>
      <c r="H76" s="49">
        <f t="shared" si="58"/>
        <v>0</v>
      </c>
      <c r="I76" s="49">
        <f t="shared" si="58"/>
        <v>0</v>
      </c>
      <c r="J76" s="49">
        <f t="shared" si="58"/>
        <v>0</v>
      </c>
      <c r="K76" s="49">
        <f t="shared" si="58"/>
        <v>0</v>
      </c>
      <c r="L76" s="49">
        <f t="shared" si="58"/>
        <v>0</v>
      </c>
      <c r="M76" s="49">
        <f>+IF($C76&lt;=M$52,$D76*8760*$E76,0)</f>
        <v>0</v>
      </c>
      <c r="N76" s="49">
        <f t="shared" ref="N76:O78" si="59">+IF($C76&lt;=N$52,$D76*8760*$E76,0)</f>
        <v>0</v>
      </c>
      <c r="O76" s="49">
        <f t="shared" si="59"/>
        <v>0</v>
      </c>
      <c r="P76" s="49">
        <f>+$D76*8760*$E76</f>
        <v>0</v>
      </c>
      <c r="Q76" s="49">
        <f t="shared" ref="Q76:AA78" si="60">+$D76*8760*$E76</f>
        <v>0</v>
      </c>
      <c r="R76" s="49">
        <f t="shared" si="60"/>
        <v>0</v>
      </c>
      <c r="S76" s="49">
        <f t="shared" si="60"/>
        <v>0</v>
      </c>
      <c r="T76" s="49">
        <f t="shared" si="60"/>
        <v>0</v>
      </c>
      <c r="U76" s="49">
        <f t="shared" si="60"/>
        <v>0</v>
      </c>
      <c r="V76" s="49">
        <f t="shared" si="60"/>
        <v>0</v>
      </c>
      <c r="W76" s="49">
        <f t="shared" si="60"/>
        <v>0</v>
      </c>
      <c r="X76" s="49">
        <f t="shared" si="60"/>
        <v>0</v>
      </c>
      <c r="Y76" s="49">
        <f t="shared" si="60"/>
        <v>0</v>
      </c>
      <c r="Z76" s="49">
        <f t="shared" si="60"/>
        <v>0</v>
      </c>
      <c r="AA76" s="49">
        <f t="shared" si="60"/>
        <v>0</v>
      </c>
    </row>
    <row r="77" spans="2:27" x14ac:dyDescent="0.3">
      <c r="B77" s="77" t="s">
        <v>480</v>
      </c>
      <c r="C77" s="75"/>
      <c r="D77" s="75"/>
      <c r="E77" s="75"/>
      <c r="F77" s="75"/>
      <c r="G77" s="61"/>
      <c r="H77" s="61"/>
      <c r="I77" s="61"/>
      <c r="J77" s="61"/>
      <c r="K77" s="61"/>
      <c r="L77" s="61"/>
      <c r="M77" s="61"/>
      <c r="N77" s="61"/>
      <c r="O77" s="61"/>
      <c r="P77" s="61"/>
      <c r="Q77" s="61"/>
      <c r="R77" s="61"/>
      <c r="S77" s="61"/>
      <c r="T77" s="61"/>
      <c r="U77" s="61"/>
      <c r="V77" s="61"/>
      <c r="W77" s="61"/>
      <c r="X77" s="61"/>
      <c r="Y77" s="61"/>
      <c r="Z77" s="61"/>
      <c r="AA77" s="61"/>
    </row>
    <row r="78" spans="2:27" x14ac:dyDescent="0.3">
      <c r="B78" s="76" t="str">
        <f>+B77</f>
        <v>Natural Gas B</v>
      </c>
      <c r="C78" s="390"/>
      <c r="D78" s="182"/>
      <c r="E78" s="59"/>
      <c r="F78" s="59"/>
      <c r="G78" s="49">
        <f t="shared" si="58"/>
        <v>0</v>
      </c>
      <c r="H78" s="49">
        <f t="shared" si="58"/>
        <v>0</v>
      </c>
      <c r="I78" s="49">
        <f t="shared" si="58"/>
        <v>0</v>
      </c>
      <c r="J78" s="49">
        <f t="shared" si="58"/>
        <v>0</v>
      </c>
      <c r="K78" s="49">
        <f t="shared" si="58"/>
        <v>0</v>
      </c>
      <c r="L78" s="49">
        <f t="shared" si="58"/>
        <v>0</v>
      </c>
      <c r="M78" s="49">
        <f>+IF($C78&lt;=M$52,$D78*8760*$E78,0)</f>
        <v>0</v>
      </c>
      <c r="N78" s="49">
        <f t="shared" si="59"/>
        <v>0</v>
      </c>
      <c r="O78" s="49">
        <f t="shared" si="59"/>
        <v>0</v>
      </c>
      <c r="P78" s="49">
        <f>+$D78*8760*$E78</f>
        <v>0</v>
      </c>
      <c r="Q78" s="49">
        <f t="shared" si="60"/>
        <v>0</v>
      </c>
      <c r="R78" s="49">
        <f t="shared" si="60"/>
        <v>0</v>
      </c>
      <c r="S78" s="49">
        <f t="shared" si="60"/>
        <v>0</v>
      </c>
      <c r="T78" s="49">
        <f t="shared" si="60"/>
        <v>0</v>
      </c>
      <c r="U78" s="49">
        <f t="shared" si="60"/>
        <v>0</v>
      </c>
      <c r="V78" s="49">
        <f t="shared" si="60"/>
        <v>0</v>
      </c>
      <c r="W78" s="49">
        <f t="shared" si="60"/>
        <v>0</v>
      </c>
      <c r="X78" s="49">
        <f t="shared" si="60"/>
        <v>0</v>
      </c>
      <c r="Y78" s="49">
        <f t="shared" si="60"/>
        <v>0</v>
      </c>
      <c r="Z78" s="49">
        <f t="shared" si="60"/>
        <v>0</v>
      </c>
      <c r="AA78" s="49">
        <f t="shared" si="60"/>
        <v>0</v>
      </c>
    </row>
    <row r="79" spans="2:27" x14ac:dyDescent="0.3">
      <c r="B79" s="13"/>
      <c r="C79" s="13"/>
      <c r="D79" s="13"/>
      <c r="E79" s="13"/>
      <c r="F79" s="13"/>
      <c r="G79" s="41"/>
      <c r="H79" s="41"/>
      <c r="I79" s="41"/>
      <c r="J79" s="41"/>
      <c r="K79" s="41"/>
      <c r="L79" s="41"/>
      <c r="M79" s="41"/>
      <c r="N79" s="41"/>
      <c r="O79" s="41"/>
      <c r="P79" s="41"/>
      <c r="Q79" s="41"/>
      <c r="R79" s="41"/>
      <c r="S79" s="41"/>
      <c r="T79" s="41"/>
      <c r="U79" s="41"/>
      <c r="V79" s="41"/>
      <c r="W79" s="41"/>
      <c r="X79" s="41"/>
      <c r="Y79" s="41"/>
      <c r="Z79" s="41"/>
      <c r="AA79" s="41"/>
    </row>
    <row r="80" spans="2:27" x14ac:dyDescent="0.3">
      <c r="B80" s="439"/>
      <c r="C80" s="440"/>
      <c r="D80" s="440"/>
      <c r="E80" s="440"/>
      <c r="F80" s="438"/>
      <c r="G80" s="381">
        <v>2010</v>
      </c>
      <c r="H80" s="381">
        <v>2011</v>
      </c>
      <c r="I80" s="381">
        <v>2012</v>
      </c>
      <c r="J80" s="381">
        <v>2013</v>
      </c>
      <c r="K80" s="381">
        <v>2014</v>
      </c>
      <c r="L80" s="381">
        <v>2015</v>
      </c>
      <c r="M80" s="381">
        <v>2016</v>
      </c>
      <c r="N80" s="381">
        <v>2017</v>
      </c>
      <c r="O80" s="381">
        <v>2018</v>
      </c>
      <c r="P80" s="381">
        <v>2019</v>
      </c>
      <c r="Q80" s="381">
        <v>2020</v>
      </c>
      <c r="R80" s="381">
        <v>2021</v>
      </c>
      <c r="S80" s="381">
        <v>2022</v>
      </c>
      <c r="T80" s="381">
        <v>2023</v>
      </c>
      <c r="U80" s="381">
        <v>2024</v>
      </c>
      <c r="V80" s="381">
        <v>2025</v>
      </c>
      <c r="W80" s="381">
        <v>2026</v>
      </c>
      <c r="X80" s="381">
        <v>2027</v>
      </c>
      <c r="Y80" s="381">
        <v>2028</v>
      </c>
      <c r="Z80" s="381">
        <v>2029</v>
      </c>
      <c r="AA80" s="381">
        <v>2030</v>
      </c>
    </row>
    <row r="81" spans="2:27" ht="28.8" x14ac:dyDescent="0.3">
      <c r="B81" s="84" t="s">
        <v>164</v>
      </c>
      <c r="C81" s="80" t="s">
        <v>279</v>
      </c>
      <c r="D81" s="389" t="s">
        <v>397</v>
      </c>
      <c r="E81" s="388" t="s">
        <v>247</v>
      </c>
      <c r="F81" s="388"/>
      <c r="G81" s="79" t="s">
        <v>197</v>
      </c>
      <c r="H81" s="79" t="s">
        <v>197</v>
      </c>
      <c r="I81" s="79" t="s">
        <v>197</v>
      </c>
      <c r="J81" s="79" t="s">
        <v>197</v>
      </c>
      <c r="K81" s="79" t="s">
        <v>197</v>
      </c>
      <c r="L81" s="79" t="s">
        <v>197</v>
      </c>
      <c r="M81" s="79" t="s">
        <v>197</v>
      </c>
      <c r="N81" s="79" t="s">
        <v>197</v>
      </c>
      <c r="O81" s="79" t="s">
        <v>197</v>
      </c>
      <c r="P81" s="79" t="s">
        <v>197</v>
      </c>
      <c r="Q81" s="79" t="s">
        <v>197</v>
      </c>
      <c r="R81" s="79" t="s">
        <v>197</v>
      </c>
      <c r="S81" s="79" t="s">
        <v>197</v>
      </c>
      <c r="T81" s="79" t="s">
        <v>197</v>
      </c>
      <c r="U81" s="79" t="s">
        <v>197</v>
      </c>
      <c r="V81" s="79" t="s">
        <v>197</v>
      </c>
      <c r="W81" s="79" t="s">
        <v>197</v>
      </c>
      <c r="X81" s="79" t="s">
        <v>197</v>
      </c>
      <c r="Y81" s="79" t="s">
        <v>197</v>
      </c>
      <c r="Z81" s="79" t="s">
        <v>197</v>
      </c>
      <c r="AA81" s="79" t="s">
        <v>197</v>
      </c>
    </row>
    <row r="82" spans="2:27" x14ac:dyDescent="0.3">
      <c r="B82" s="82" t="s">
        <v>0</v>
      </c>
      <c r="C82" s="82"/>
      <c r="D82" s="82"/>
      <c r="E82" s="82"/>
      <c r="F82" s="82"/>
      <c r="G82" s="83">
        <f t="shared" ref="G82:AA82" si="61">SUM(G84:G127)</f>
        <v>0</v>
      </c>
      <c r="H82" s="83">
        <f t="shared" si="61"/>
        <v>0</v>
      </c>
      <c r="I82" s="83">
        <f t="shared" si="61"/>
        <v>0</v>
      </c>
      <c r="J82" s="83">
        <f t="shared" si="61"/>
        <v>0</v>
      </c>
      <c r="K82" s="83">
        <f t="shared" si="61"/>
        <v>0</v>
      </c>
      <c r="L82" s="83">
        <f t="shared" si="61"/>
        <v>0</v>
      </c>
      <c r="M82" s="83">
        <f t="shared" si="61"/>
        <v>0</v>
      </c>
      <c r="N82" s="83">
        <f t="shared" si="61"/>
        <v>0</v>
      </c>
      <c r="O82" s="83">
        <f t="shared" si="61"/>
        <v>240900</v>
      </c>
      <c r="P82" s="83">
        <f t="shared" si="61"/>
        <v>543120</v>
      </c>
      <c r="Q82" s="83">
        <f t="shared" si="61"/>
        <v>2938542</v>
      </c>
      <c r="R82" s="83">
        <f t="shared" si="61"/>
        <v>5103138</v>
      </c>
      <c r="S82" s="83">
        <f t="shared" si="61"/>
        <v>5103138</v>
      </c>
      <c r="T82" s="83">
        <f t="shared" si="61"/>
        <v>5103138</v>
      </c>
      <c r="U82" s="83">
        <f t="shared" si="61"/>
        <v>5103138</v>
      </c>
      <c r="V82" s="83">
        <f t="shared" si="61"/>
        <v>11200098</v>
      </c>
      <c r="W82" s="83">
        <f t="shared" si="61"/>
        <v>11200098</v>
      </c>
      <c r="X82" s="83">
        <f t="shared" si="61"/>
        <v>11200098</v>
      </c>
      <c r="Y82" s="83">
        <f t="shared" si="61"/>
        <v>11200098</v>
      </c>
      <c r="Z82" s="83">
        <f t="shared" si="61"/>
        <v>33205611.600000001</v>
      </c>
      <c r="AA82" s="83">
        <f t="shared" si="61"/>
        <v>40564011.600000001</v>
      </c>
    </row>
    <row r="83" spans="2:27" x14ac:dyDescent="0.3">
      <c r="B83" s="57" t="s">
        <v>41</v>
      </c>
      <c r="C83" s="57"/>
      <c r="D83" s="57"/>
      <c r="E83" s="57"/>
      <c r="F83" s="57"/>
      <c r="G83" s="78"/>
      <c r="H83" s="78"/>
      <c r="I83" s="78"/>
      <c r="J83" s="78"/>
      <c r="K83" s="78"/>
      <c r="L83" s="78"/>
      <c r="M83" s="78"/>
      <c r="N83" s="78"/>
      <c r="O83" s="78"/>
      <c r="P83" s="78"/>
      <c r="Q83" s="78"/>
      <c r="R83" s="78"/>
      <c r="S83" s="78"/>
      <c r="T83" s="78"/>
      <c r="U83" s="78"/>
      <c r="V83" s="78"/>
      <c r="W83" s="78"/>
      <c r="X83" s="78"/>
      <c r="Y83" s="78"/>
      <c r="Z83" s="78"/>
      <c r="AA83" s="78"/>
    </row>
    <row r="84" spans="2:27" x14ac:dyDescent="0.3">
      <c r="B84" s="47" t="s">
        <v>407</v>
      </c>
      <c r="C84" s="110">
        <v>2018</v>
      </c>
      <c r="D84" s="426">
        <v>55</v>
      </c>
      <c r="E84" s="110">
        <v>0.5</v>
      </c>
      <c r="F84" s="110"/>
      <c r="G84" s="49">
        <f t="shared" ref="G84:V109" si="62">+IF($C84&lt;=G$52,$D84*8760*$E84,0)</f>
        <v>0</v>
      </c>
      <c r="H84" s="49">
        <f t="shared" si="62"/>
        <v>0</v>
      </c>
      <c r="I84" s="49">
        <f t="shared" si="62"/>
        <v>0</v>
      </c>
      <c r="J84" s="49">
        <f t="shared" si="62"/>
        <v>0</v>
      </c>
      <c r="K84" s="49">
        <f t="shared" si="62"/>
        <v>0</v>
      </c>
      <c r="L84" s="49">
        <f t="shared" si="62"/>
        <v>0</v>
      </c>
      <c r="M84" s="49">
        <f t="shared" si="62"/>
        <v>0</v>
      </c>
      <c r="N84" s="49">
        <f t="shared" si="62"/>
        <v>0</v>
      </c>
      <c r="O84" s="49">
        <f t="shared" si="62"/>
        <v>240900</v>
      </c>
      <c r="P84" s="49">
        <f t="shared" si="62"/>
        <v>240900</v>
      </c>
      <c r="Q84" s="49">
        <f t="shared" si="62"/>
        <v>240900</v>
      </c>
      <c r="R84" s="49">
        <f t="shared" si="62"/>
        <v>240900</v>
      </c>
      <c r="S84" s="49">
        <f t="shared" si="62"/>
        <v>240900</v>
      </c>
      <c r="T84" s="49">
        <f t="shared" si="62"/>
        <v>240900</v>
      </c>
      <c r="U84" s="49">
        <f t="shared" si="62"/>
        <v>240900</v>
      </c>
      <c r="V84" s="49">
        <f t="shared" si="62"/>
        <v>240900</v>
      </c>
      <c r="W84" s="49">
        <f t="shared" ref="W84:AA127" si="63">+IF($C84&lt;=W$52,$D84*8760*$E84,0)</f>
        <v>240900</v>
      </c>
      <c r="X84" s="49">
        <f t="shared" si="63"/>
        <v>240900</v>
      </c>
      <c r="Y84" s="49">
        <f t="shared" si="63"/>
        <v>240900</v>
      </c>
      <c r="Z84" s="49">
        <f t="shared" si="63"/>
        <v>240900</v>
      </c>
      <c r="AA84" s="49">
        <f t="shared" si="63"/>
        <v>240900</v>
      </c>
    </row>
    <row r="85" spans="2:27" x14ac:dyDescent="0.3">
      <c r="B85" s="47" t="s">
        <v>408</v>
      </c>
      <c r="C85" s="110">
        <v>2019</v>
      </c>
      <c r="D85" s="426">
        <v>69</v>
      </c>
      <c r="E85" s="110">
        <v>0.5</v>
      </c>
      <c r="F85" s="110"/>
      <c r="G85" s="49">
        <f t="shared" si="62"/>
        <v>0</v>
      </c>
      <c r="H85" s="49">
        <f t="shared" si="62"/>
        <v>0</v>
      </c>
      <c r="I85" s="49">
        <f t="shared" si="62"/>
        <v>0</v>
      </c>
      <c r="J85" s="49">
        <f t="shared" si="62"/>
        <v>0</v>
      </c>
      <c r="K85" s="49">
        <f t="shared" si="62"/>
        <v>0</v>
      </c>
      <c r="L85" s="49">
        <f t="shared" si="62"/>
        <v>0</v>
      </c>
      <c r="M85" s="49">
        <f t="shared" si="62"/>
        <v>0</v>
      </c>
      <c r="N85" s="49">
        <f t="shared" si="62"/>
        <v>0</v>
      </c>
      <c r="O85" s="49">
        <f t="shared" si="62"/>
        <v>0</v>
      </c>
      <c r="P85" s="49">
        <f t="shared" si="62"/>
        <v>302220</v>
      </c>
      <c r="Q85" s="49">
        <f t="shared" si="62"/>
        <v>302220</v>
      </c>
      <c r="R85" s="49">
        <f t="shared" si="62"/>
        <v>302220</v>
      </c>
      <c r="S85" s="49">
        <f t="shared" si="62"/>
        <v>302220</v>
      </c>
      <c r="T85" s="49">
        <f t="shared" si="62"/>
        <v>302220</v>
      </c>
      <c r="U85" s="49">
        <f t="shared" si="62"/>
        <v>302220</v>
      </c>
      <c r="V85" s="49">
        <f t="shared" si="62"/>
        <v>302220</v>
      </c>
      <c r="W85" s="49">
        <f t="shared" si="63"/>
        <v>302220</v>
      </c>
      <c r="X85" s="49">
        <f t="shared" si="63"/>
        <v>302220</v>
      </c>
      <c r="Y85" s="49">
        <f t="shared" si="63"/>
        <v>302220</v>
      </c>
      <c r="Z85" s="49">
        <f t="shared" si="63"/>
        <v>302220</v>
      </c>
      <c r="AA85" s="49">
        <f t="shared" si="63"/>
        <v>302220</v>
      </c>
    </row>
    <row r="86" spans="2:27" x14ac:dyDescent="0.3">
      <c r="B86" s="57" t="s">
        <v>61</v>
      </c>
      <c r="C86" s="57"/>
      <c r="D86" s="432"/>
      <c r="E86" s="57"/>
      <c r="F86" s="57"/>
      <c r="G86" s="78"/>
      <c r="H86" s="78"/>
      <c r="I86" s="78"/>
      <c r="J86" s="78"/>
      <c r="K86" s="78"/>
      <c r="L86" s="78"/>
      <c r="M86" s="78"/>
      <c r="N86" s="78"/>
      <c r="O86" s="78"/>
      <c r="P86" s="78"/>
      <c r="Q86" s="78"/>
      <c r="R86" s="78"/>
      <c r="S86" s="78"/>
      <c r="T86" s="78"/>
      <c r="U86" s="78"/>
      <c r="V86" s="78"/>
      <c r="W86" s="78"/>
      <c r="X86" s="78"/>
      <c r="Y86" s="78"/>
      <c r="Z86" s="78"/>
      <c r="AA86" s="78"/>
    </row>
    <row r="87" spans="2:27" x14ac:dyDescent="0.3">
      <c r="B87" s="47" t="s">
        <v>61</v>
      </c>
      <c r="C87" s="110">
        <v>2021</v>
      </c>
      <c r="D87" s="426">
        <v>198.6</v>
      </c>
      <c r="E87" s="110">
        <v>0.5</v>
      </c>
      <c r="F87" s="110"/>
      <c r="G87" s="49">
        <f t="shared" si="62"/>
        <v>0</v>
      </c>
      <c r="H87" s="49">
        <f t="shared" si="62"/>
        <v>0</v>
      </c>
      <c r="I87" s="49">
        <f t="shared" si="62"/>
        <v>0</v>
      </c>
      <c r="J87" s="49">
        <f t="shared" si="62"/>
        <v>0</v>
      </c>
      <c r="K87" s="49">
        <f t="shared" si="62"/>
        <v>0</v>
      </c>
      <c r="L87" s="49">
        <f t="shared" si="62"/>
        <v>0</v>
      </c>
      <c r="M87" s="49">
        <f t="shared" si="62"/>
        <v>0</v>
      </c>
      <c r="N87" s="49">
        <f t="shared" si="62"/>
        <v>0</v>
      </c>
      <c r="O87" s="49">
        <f t="shared" si="62"/>
        <v>0</v>
      </c>
      <c r="P87" s="49">
        <f t="shared" si="62"/>
        <v>0</v>
      </c>
      <c r="Q87" s="49">
        <f t="shared" si="62"/>
        <v>0</v>
      </c>
      <c r="R87" s="49">
        <f t="shared" si="62"/>
        <v>869868</v>
      </c>
      <c r="S87" s="49">
        <f t="shared" si="62"/>
        <v>869868</v>
      </c>
      <c r="T87" s="49">
        <f t="shared" si="62"/>
        <v>869868</v>
      </c>
      <c r="U87" s="49">
        <f t="shared" si="62"/>
        <v>869868</v>
      </c>
      <c r="V87" s="49">
        <f t="shared" si="62"/>
        <v>869868</v>
      </c>
      <c r="W87" s="49">
        <f t="shared" si="63"/>
        <v>869868</v>
      </c>
      <c r="X87" s="49">
        <f t="shared" si="63"/>
        <v>869868</v>
      </c>
      <c r="Y87" s="49">
        <f t="shared" si="63"/>
        <v>869868</v>
      </c>
      <c r="Z87" s="49">
        <f t="shared" si="63"/>
        <v>869868</v>
      </c>
      <c r="AA87" s="49">
        <f t="shared" si="63"/>
        <v>869868</v>
      </c>
    </row>
    <row r="88" spans="2:27" x14ac:dyDescent="0.3">
      <c r="B88" s="57" t="s">
        <v>62</v>
      </c>
      <c r="C88" s="57"/>
      <c r="D88" s="432"/>
      <c r="E88" s="57"/>
      <c r="F88" s="57"/>
      <c r="G88" s="78"/>
      <c r="H88" s="78"/>
      <c r="I88" s="78"/>
      <c r="J88" s="78"/>
      <c r="K88" s="78"/>
      <c r="L88" s="78"/>
      <c r="M88" s="78"/>
      <c r="N88" s="78"/>
      <c r="O88" s="78"/>
      <c r="P88" s="78"/>
      <c r="Q88" s="78"/>
      <c r="R88" s="78"/>
      <c r="S88" s="78"/>
      <c r="T88" s="78"/>
      <c r="U88" s="78"/>
      <c r="V88" s="78"/>
      <c r="W88" s="78"/>
      <c r="X88" s="78"/>
      <c r="Y88" s="78"/>
      <c r="Z88" s="78"/>
      <c r="AA88" s="78"/>
    </row>
    <row r="89" spans="2:27" x14ac:dyDescent="0.3">
      <c r="B89" s="47" t="s">
        <v>62</v>
      </c>
      <c r="C89" s="110">
        <v>2021</v>
      </c>
      <c r="D89" s="426">
        <v>91.6</v>
      </c>
      <c r="E89" s="110">
        <v>0.5</v>
      </c>
      <c r="F89" s="110"/>
      <c r="G89" s="49">
        <f t="shared" si="62"/>
        <v>0</v>
      </c>
      <c r="H89" s="49">
        <f t="shared" si="62"/>
        <v>0</v>
      </c>
      <c r="I89" s="49">
        <f t="shared" si="62"/>
        <v>0</v>
      </c>
      <c r="J89" s="49">
        <f t="shared" si="62"/>
        <v>0</v>
      </c>
      <c r="K89" s="49">
        <f t="shared" si="62"/>
        <v>0</v>
      </c>
      <c r="L89" s="49">
        <f t="shared" si="62"/>
        <v>0</v>
      </c>
      <c r="M89" s="49">
        <f t="shared" si="62"/>
        <v>0</v>
      </c>
      <c r="N89" s="49">
        <f t="shared" si="62"/>
        <v>0</v>
      </c>
      <c r="O89" s="49">
        <f t="shared" si="62"/>
        <v>0</v>
      </c>
      <c r="P89" s="49">
        <f t="shared" si="62"/>
        <v>0</v>
      </c>
      <c r="Q89" s="49">
        <f t="shared" si="62"/>
        <v>0</v>
      </c>
      <c r="R89" s="49">
        <f t="shared" si="62"/>
        <v>401208</v>
      </c>
      <c r="S89" s="49">
        <f t="shared" si="62"/>
        <v>401208</v>
      </c>
      <c r="T89" s="49">
        <f t="shared" si="62"/>
        <v>401208</v>
      </c>
      <c r="U89" s="49">
        <f t="shared" si="62"/>
        <v>401208</v>
      </c>
      <c r="V89" s="49">
        <f t="shared" si="62"/>
        <v>401208</v>
      </c>
      <c r="W89" s="49">
        <f t="shared" si="63"/>
        <v>401208</v>
      </c>
      <c r="X89" s="49">
        <f t="shared" si="63"/>
        <v>401208</v>
      </c>
      <c r="Y89" s="49">
        <f t="shared" si="63"/>
        <v>401208</v>
      </c>
      <c r="Z89" s="49">
        <f t="shared" si="63"/>
        <v>401208</v>
      </c>
      <c r="AA89" s="49">
        <f t="shared" si="63"/>
        <v>401208</v>
      </c>
    </row>
    <row r="90" spans="2:27" x14ac:dyDescent="0.3">
      <c r="B90" s="57" t="s">
        <v>63</v>
      </c>
      <c r="C90" s="57"/>
      <c r="D90" s="432"/>
      <c r="E90" s="57"/>
      <c r="F90" s="57"/>
      <c r="G90" s="78"/>
      <c r="H90" s="78"/>
      <c r="I90" s="78"/>
      <c r="J90" s="78"/>
      <c r="K90" s="78"/>
      <c r="L90" s="78"/>
      <c r="M90" s="78"/>
      <c r="N90" s="78"/>
      <c r="O90" s="78"/>
      <c r="P90" s="78"/>
      <c r="Q90" s="78"/>
      <c r="R90" s="78"/>
      <c r="S90" s="78"/>
      <c r="T90" s="78"/>
      <c r="U90" s="78"/>
      <c r="V90" s="78"/>
      <c r="W90" s="78"/>
      <c r="X90" s="78"/>
      <c r="Y90" s="78"/>
      <c r="Z90" s="78"/>
      <c r="AA90" s="78"/>
    </row>
    <row r="91" spans="2:27" x14ac:dyDescent="0.3">
      <c r="B91" s="47" t="s">
        <v>63</v>
      </c>
      <c r="C91" s="110">
        <v>2021</v>
      </c>
      <c r="D91" s="426">
        <v>85.8</v>
      </c>
      <c r="E91" s="110">
        <v>0.5</v>
      </c>
      <c r="F91" s="110"/>
      <c r="G91" s="49">
        <f t="shared" si="62"/>
        <v>0</v>
      </c>
      <c r="H91" s="49">
        <f t="shared" si="62"/>
        <v>0</v>
      </c>
      <c r="I91" s="49">
        <f t="shared" si="62"/>
        <v>0</v>
      </c>
      <c r="J91" s="49">
        <f t="shared" si="62"/>
        <v>0</v>
      </c>
      <c r="K91" s="49">
        <f t="shared" si="62"/>
        <v>0</v>
      </c>
      <c r="L91" s="49">
        <f t="shared" si="62"/>
        <v>0</v>
      </c>
      <c r="M91" s="49">
        <f t="shared" si="62"/>
        <v>0</v>
      </c>
      <c r="N91" s="49">
        <f t="shared" si="62"/>
        <v>0</v>
      </c>
      <c r="O91" s="49">
        <f t="shared" si="62"/>
        <v>0</v>
      </c>
      <c r="P91" s="49">
        <f t="shared" si="62"/>
        <v>0</v>
      </c>
      <c r="Q91" s="49">
        <f t="shared" si="62"/>
        <v>0</v>
      </c>
      <c r="R91" s="49">
        <f t="shared" si="62"/>
        <v>375804</v>
      </c>
      <c r="S91" s="49">
        <f t="shared" si="62"/>
        <v>375804</v>
      </c>
      <c r="T91" s="49">
        <f t="shared" si="62"/>
        <v>375804</v>
      </c>
      <c r="U91" s="49">
        <f t="shared" si="62"/>
        <v>375804</v>
      </c>
      <c r="V91" s="49">
        <f t="shared" si="62"/>
        <v>375804</v>
      </c>
      <c r="W91" s="49">
        <f t="shared" si="63"/>
        <v>375804</v>
      </c>
      <c r="X91" s="49">
        <f t="shared" si="63"/>
        <v>375804</v>
      </c>
      <c r="Y91" s="49">
        <f t="shared" si="63"/>
        <v>375804</v>
      </c>
      <c r="Z91" s="49">
        <f t="shared" si="63"/>
        <v>375804</v>
      </c>
      <c r="AA91" s="49">
        <f t="shared" si="63"/>
        <v>375804</v>
      </c>
    </row>
    <row r="92" spans="2:27" x14ac:dyDescent="0.3">
      <c r="B92" s="57" t="s">
        <v>64</v>
      </c>
      <c r="C92" s="57"/>
      <c r="D92" s="432"/>
      <c r="E92" s="57"/>
      <c r="F92" s="57"/>
      <c r="G92" s="78"/>
      <c r="H92" s="78"/>
      <c r="I92" s="78"/>
      <c r="J92" s="78"/>
      <c r="K92" s="78"/>
      <c r="L92" s="78"/>
      <c r="M92" s="78"/>
      <c r="N92" s="78"/>
      <c r="O92" s="78"/>
      <c r="P92" s="78"/>
      <c r="Q92" s="78"/>
      <c r="R92" s="78"/>
      <c r="S92" s="78"/>
      <c r="T92" s="78"/>
      <c r="U92" s="78"/>
      <c r="V92" s="78"/>
      <c r="W92" s="78"/>
      <c r="X92" s="78"/>
      <c r="Y92" s="78"/>
      <c r="Z92" s="78"/>
      <c r="AA92" s="78"/>
    </row>
    <row r="93" spans="2:27" x14ac:dyDescent="0.3">
      <c r="B93" s="47" t="s">
        <v>64</v>
      </c>
      <c r="C93" s="110">
        <v>2021</v>
      </c>
      <c r="D93" s="426">
        <v>118.2</v>
      </c>
      <c r="E93" s="110">
        <v>0.5</v>
      </c>
      <c r="F93" s="110"/>
      <c r="G93" s="49">
        <f t="shared" si="62"/>
        <v>0</v>
      </c>
      <c r="H93" s="49">
        <f t="shared" si="62"/>
        <v>0</v>
      </c>
      <c r="I93" s="49">
        <f t="shared" si="62"/>
        <v>0</v>
      </c>
      <c r="J93" s="49">
        <f t="shared" si="62"/>
        <v>0</v>
      </c>
      <c r="K93" s="49">
        <f t="shared" si="62"/>
        <v>0</v>
      </c>
      <c r="L93" s="49">
        <f t="shared" si="62"/>
        <v>0</v>
      </c>
      <c r="M93" s="49">
        <f t="shared" si="62"/>
        <v>0</v>
      </c>
      <c r="N93" s="49">
        <f t="shared" si="62"/>
        <v>0</v>
      </c>
      <c r="O93" s="49">
        <f t="shared" si="62"/>
        <v>0</v>
      </c>
      <c r="P93" s="49">
        <f t="shared" si="62"/>
        <v>0</v>
      </c>
      <c r="Q93" s="49">
        <f t="shared" si="62"/>
        <v>0</v>
      </c>
      <c r="R93" s="49">
        <f t="shared" si="62"/>
        <v>517716</v>
      </c>
      <c r="S93" s="49">
        <f t="shared" si="62"/>
        <v>517716</v>
      </c>
      <c r="T93" s="49">
        <f t="shared" si="62"/>
        <v>517716</v>
      </c>
      <c r="U93" s="49">
        <f t="shared" si="62"/>
        <v>517716</v>
      </c>
      <c r="V93" s="49">
        <f t="shared" si="62"/>
        <v>517716</v>
      </c>
      <c r="W93" s="49">
        <f t="shared" si="63"/>
        <v>517716</v>
      </c>
      <c r="X93" s="49">
        <f t="shared" si="63"/>
        <v>517716</v>
      </c>
      <c r="Y93" s="49">
        <f t="shared" si="63"/>
        <v>517716</v>
      </c>
      <c r="Z93" s="49">
        <f t="shared" si="63"/>
        <v>517716</v>
      </c>
      <c r="AA93" s="49">
        <f t="shared" si="63"/>
        <v>517716</v>
      </c>
    </row>
    <row r="94" spans="2:27" x14ac:dyDescent="0.3">
      <c r="B94" s="57" t="s">
        <v>250</v>
      </c>
      <c r="C94" s="57"/>
      <c r="D94" s="432"/>
      <c r="E94" s="57"/>
      <c r="F94" s="57"/>
      <c r="G94" s="78"/>
      <c r="H94" s="78"/>
      <c r="I94" s="78"/>
      <c r="J94" s="78"/>
      <c r="K94" s="78"/>
      <c r="L94" s="78"/>
      <c r="M94" s="78"/>
      <c r="N94" s="78"/>
      <c r="O94" s="78"/>
      <c r="P94" s="78"/>
      <c r="Q94" s="78"/>
      <c r="R94" s="78"/>
      <c r="S94" s="78"/>
      <c r="T94" s="78"/>
      <c r="U94" s="78"/>
      <c r="V94" s="78"/>
      <c r="W94" s="78"/>
      <c r="X94" s="78"/>
      <c r="Y94" s="78"/>
      <c r="Z94" s="78"/>
      <c r="AA94" s="78"/>
    </row>
    <row r="95" spans="2:27" x14ac:dyDescent="0.3">
      <c r="B95" s="47" t="str">
        <f>+B94</f>
        <v>Ivirizu</v>
      </c>
      <c r="C95" s="110">
        <v>2020</v>
      </c>
      <c r="D95" s="426">
        <v>253.9</v>
      </c>
      <c r="E95" s="110">
        <v>0.5</v>
      </c>
      <c r="F95" s="110"/>
      <c r="G95" s="49">
        <f t="shared" si="62"/>
        <v>0</v>
      </c>
      <c r="H95" s="49">
        <f t="shared" si="62"/>
        <v>0</v>
      </c>
      <c r="I95" s="49">
        <f t="shared" si="62"/>
        <v>0</v>
      </c>
      <c r="J95" s="49">
        <f t="shared" si="62"/>
        <v>0</v>
      </c>
      <c r="K95" s="49">
        <f t="shared" si="62"/>
        <v>0</v>
      </c>
      <c r="L95" s="49">
        <f t="shared" si="62"/>
        <v>0</v>
      </c>
      <c r="M95" s="49">
        <f t="shared" si="62"/>
        <v>0</v>
      </c>
      <c r="N95" s="49">
        <f t="shared" si="62"/>
        <v>0</v>
      </c>
      <c r="O95" s="49">
        <f t="shared" si="62"/>
        <v>0</v>
      </c>
      <c r="P95" s="49">
        <f t="shared" si="62"/>
        <v>0</v>
      </c>
      <c r="Q95" s="49">
        <f t="shared" si="62"/>
        <v>1112082</v>
      </c>
      <c r="R95" s="49">
        <f t="shared" si="62"/>
        <v>1112082</v>
      </c>
      <c r="S95" s="49">
        <f t="shared" si="62"/>
        <v>1112082</v>
      </c>
      <c r="T95" s="49">
        <f t="shared" si="62"/>
        <v>1112082</v>
      </c>
      <c r="U95" s="49">
        <f t="shared" si="62"/>
        <v>1112082</v>
      </c>
      <c r="V95" s="49">
        <f t="shared" si="62"/>
        <v>1112082</v>
      </c>
      <c r="W95" s="49">
        <f t="shared" si="63"/>
        <v>1112082</v>
      </c>
      <c r="X95" s="49">
        <f t="shared" si="63"/>
        <v>1112082</v>
      </c>
      <c r="Y95" s="49">
        <f t="shared" si="63"/>
        <v>1112082</v>
      </c>
      <c r="Z95" s="49">
        <f t="shared" si="63"/>
        <v>1112082</v>
      </c>
      <c r="AA95" s="49">
        <f t="shared" si="63"/>
        <v>1112082</v>
      </c>
    </row>
    <row r="96" spans="2:27" x14ac:dyDescent="0.3">
      <c r="B96" s="57" t="s">
        <v>251</v>
      </c>
      <c r="C96" s="57"/>
      <c r="D96" s="432"/>
      <c r="E96" s="57"/>
      <c r="F96" s="57"/>
      <c r="G96" s="78"/>
      <c r="H96" s="78"/>
      <c r="I96" s="78"/>
      <c r="J96" s="78"/>
      <c r="K96" s="78"/>
      <c r="L96" s="78"/>
      <c r="M96" s="78"/>
      <c r="N96" s="78"/>
      <c r="O96" s="78"/>
      <c r="P96" s="78"/>
      <c r="Q96" s="78"/>
      <c r="R96" s="78"/>
      <c r="S96" s="78"/>
      <c r="T96" s="78"/>
      <c r="U96" s="78"/>
      <c r="V96" s="78"/>
      <c r="W96" s="78"/>
      <c r="X96" s="78"/>
      <c r="Y96" s="78"/>
      <c r="Z96" s="78"/>
      <c r="AA96" s="78"/>
    </row>
    <row r="97" spans="2:27" x14ac:dyDescent="0.3">
      <c r="B97" s="47" t="str">
        <f>+B96</f>
        <v>Banda Azul</v>
      </c>
      <c r="C97" s="110">
        <v>2020</v>
      </c>
      <c r="D97" s="426">
        <v>93</v>
      </c>
      <c r="E97" s="110">
        <v>0.5</v>
      </c>
      <c r="F97" s="110"/>
      <c r="G97" s="49">
        <f t="shared" si="62"/>
        <v>0</v>
      </c>
      <c r="H97" s="49">
        <f t="shared" si="62"/>
        <v>0</v>
      </c>
      <c r="I97" s="49">
        <f t="shared" si="62"/>
        <v>0</v>
      </c>
      <c r="J97" s="49">
        <f t="shared" si="62"/>
        <v>0</v>
      </c>
      <c r="K97" s="49">
        <f t="shared" si="62"/>
        <v>0</v>
      </c>
      <c r="L97" s="49">
        <f t="shared" si="62"/>
        <v>0</v>
      </c>
      <c r="M97" s="49">
        <f t="shared" si="62"/>
        <v>0</v>
      </c>
      <c r="N97" s="49">
        <f t="shared" si="62"/>
        <v>0</v>
      </c>
      <c r="O97" s="49">
        <f t="shared" si="62"/>
        <v>0</v>
      </c>
      <c r="P97" s="49">
        <f t="shared" si="62"/>
        <v>0</v>
      </c>
      <c r="Q97" s="49">
        <f t="shared" si="62"/>
        <v>407340</v>
      </c>
      <c r="R97" s="49">
        <f t="shared" si="62"/>
        <v>407340</v>
      </c>
      <c r="S97" s="49">
        <f t="shared" si="62"/>
        <v>407340</v>
      </c>
      <c r="T97" s="49">
        <f t="shared" si="62"/>
        <v>407340</v>
      </c>
      <c r="U97" s="49">
        <f t="shared" si="62"/>
        <v>407340</v>
      </c>
      <c r="V97" s="49">
        <f t="shared" si="62"/>
        <v>407340</v>
      </c>
      <c r="W97" s="49">
        <f t="shared" si="63"/>
        <v>407340</v>
      </c>
      <c r="X97" s="49">
        <f t="shared" si="63"/>
        <v>407340</v>
      </c>
      <c r="Y97" s="49">
        <f t="shared" si="63"/>
        <v>407340</v>
      </c>
      <c r="Z97" s="49">
        <f t="shared" si="63"/>
        <v>407340</v>
      </c>
      <c r="AA97" s="49">
        <f t="shared" si="63"/>
        <v>407340</v>
      </c>
    </row>
    <row r="98" spans="2:27" x14ac:dyDescent="0.3">
      <c r="B98" s="57" t="s">
        <v>469</v>
      </c>
      <c r="C98" s="57"/>
      <c r="D98" s="432"/>
      <c r="E98" s="57"/>
      <c r="F98" s="57"/>
      <c r="G98" s="78"/>
      <c r="H98" s="78"/>
      <c r="I98" s="78"/>
      <c r="J98" s="78"/>
      <c r="K98" s="78"/>
      <c r="L98" s="78"/>
      <c r="M98" s="78"/>
      <c r="N98" s="78"/>
      <c r="O98" s="78"/>
      <c r="P98" s="78"/>
      <c r="Q98" s="78"/>
      <c r="R98" s="78"/>
      <c r="S98" s="78"/>
      <c r="T98" s="78"/>
      <c r="U98" s="78"/>
      <c r="V98" s="78"/>
      <c r="W98" s="78"/>
      <c r="X98" s="78"/>
      <c r="Y98" s="78"/>
      <c r="Z98" s="78"/>
      <c r="AA98" s="78"/>
    </row>
    <row r="99" spans="2:27" x14ac:dyDescent="0.3">
      <c r="B99" s="47" t="str">
        <f>+B98</f>
        <v>Pequenas centrales</v>
      </c>
      <c r="C99" s="110">
        <v>2020</v>
      </c>
      <c r="D99" s="426">
        <v>200</v>
      </c>
      <c r="E99" s="110">
        <v>0.5</v>
      </c>
      <c r="F99" s="110"/>
      <c r="G99" s="49">
        <f t="shared" si="62"/>
        <v>0</v>
      </c>
      <c r="H99" s="49">
        <f t="shared" si="62"/>
        <v>0</v>
      </c>
      <c r="I99" s="49">
        <f t="shared" si="62"/>
        <v>0</v>
      </c>
      <c r="J99" s="49">
        <f t="shared" si="62"/>
        <v>0</v>
      </c>
      <c r="K99" s="49">
        <f t="shared" si="62"/>
        <v>0</v>
      </c>
      <c r="L99" s="49">
        <f t="shared" si="62"/>
        <v>0</v>
      </c>
      <c r="M99" s="49">
        <f t="shared" si="62"/>
        <v>0</v>
      </c>
      <c r="N99" s="49">
        <f t="shared" si="62"/>
        <v>0</v>
      </c>
      <c r="O99" s="49">
        <f t="shared" si="62"/>
        <v>0</v>
      </c>
      <c r="P99" s="49">
        <f t="shared" si="62"/>
        <v>0</v>
      </c>
      <c r="Q99" s="49">
        <f t="shared" si="62"/>
        <v>876000</v>
      </c>
      <c r="R99" s="49">
        <f t="shared" si="62"/>
        <v>876000</v>
      </c>
      <c r="S99" s="49">
        <f t="shared" si="62"/>
        <v>876000</v>
      </c>
      <c r="T99" s="49">
        <f t="shared" si="62"/>
        <v>876000</v>
      </c>
      <c r="U99" s="49">
        <f t="shared" si="62"/>
        <v>876000</v>
      </c>
      <c r="V99" s="49">
        <f t="shared" si="62"/>
        <v>876000</v>
      </c>
      <c r="W99" s="49">
        <f t="shared" si="63"/>
        <v>876000</v>
      </c>
      <c r="X99" s="49">
        <f t="shared" si="63"/>
        <v>876000</v>
      </c>
      <c r="Y99" s="49">
        <f t="shared" si="63"/>
        <v>876000</v>
      </c>
      <c r="Z99" s="49">
        <f t="shared" si="63"/>
        <v>876000</v>
      </c>
      <c r="AA99" s="49">
        <f t="shared" si="63"/>
        <v>876000</v>
      </c>
    </row>
    <row r="100" spans="2:27" x14ac:dyDescent="0.3">
      <c r="B100" s="57" t="s">
        <v>252</v>
      </c>
      <c r="C100" s="57"/>
      <c r="D100" s="432"/>
      <c r="E100" s="57"/>
      <c r="F100" s="57"/>
      <c r="G100" s="78"/>
      <c r="H100" s="78"/>
      <c r="I100" s="78"/>
      <c r="J100" s="78"/>
      <c r="K100" s="78"/>
      <c r="L100" s="78"/>
      <c r="M100" s="78"/>
      <c r="N100" s="78"/>
      <c r="O100" s="78"/>
      <c r="P100" s="78"/>
      <c r="Q100" s="78"/>
      <c r="R100" s="78"/>
      <c r="S100" s="78"/>
      <c r="T100" s="78"/>
      <c r="U100" s="78"/>
      <c r="V100" s="78"/>
      <c r="W100" s="78"/>
      <c r="X100" s="78"/>
      <c r="Y100" s="78"/>
      <c r="Z100" s="78"/>
      <c r="AA100" s="78"/>
    </row>
    <row r="101" spans="2:27" x14ac:dyDescent="0.3">
      <c r="B101" s="47" t="str">
        <f>+B100</f>
        <v>Carrizal</v>
      </c>
      <c r="C101" s="110">
        <v>2025</v>
      </c>
      <c r="D101" s="426">
        <v>347</v>
      </c>
      <c r="E101" s="110">
        <v>0.5</v>
      </c>
      <c r="F101" s="110"/>
      <c r="G101" s="49">
        <f t="shared" si="62"/>
        <v>0</v>
      </c>
      <c r="H101" s="49">
        <f t="shared" si="62"/>
        <v>0</v>
      </c>
      <c r="I101" s="49">
        <f t="shared" si="62"/>
        <v>0</v>
      </c>
      <c r="J101" s="49">
        <f t="shared" si="62"/>
        <v>0</v>
      </c>
      <c r="K101" s="49">
        <f t="shared" si="62"/>
        <v>0</v>
      </c>
      <c r="L101" s="49">
        <f t="shared" si="62"/>
        <v>0</v>
      </c>
      <c r="M101" s="49">
        <f t="shared" si="62"/>
        <v>0</v>
      </c>
      <c r="N101" s="49">
        <f t="shared" si="62"/>
        <v>0</v>
      </c>
      <c r="O101" s="49">
        <f t="shared" si="62"/>
        <v>0</v>
      </c>
      <c r="P101" s="49">
        <f t="shared" si="62"/>
        <v>0</v>
      </c>
      <c r="Q101" s="49">
        <f t="shared" si="62"/>
        <v>0</v>
      </c>
      <c r="R101" s="49">
        <f t="shared" si="62"/>
        <v>0</v>
      </c>
      <c r="S101" s="49">
        <f t="shared" si="62"/>
        <v>0</v>
      </c>
      <c r="T101" s="49">
        <f t="shared" si="62"/>
        <v>0</v>
      </c>
      <c r="U101" s="49">
        <f t="shared" si="62"/>
        <v>0</v>
      </c>
      <c r="V101" s="49">
        <f t="shared" si="62"/>
        <v>1519860</v>
      </c>
      <c r="W101" s="49">
        <f t="shared" si="63"/>
        <v>1519860</v>
      </c>
      <c r="X101" s="49">
        <f t="shared" si="63"/>
        <v>1519860</v>
      </c>
      <c r="Y101" s="49">
        <f t="shared" si="63"/>
        <v>1519860</v>
      </c>
      <c r="Z101" s="49">
        <f t="shared" si="63"/>
        <v>1519860</v>
      </c>
      <c r="AA101" s="49">
        <f t="shared" si="63"/>
        <v>1519860</v>
      </c>
    </row>
    <row r="102" spans="2:27" x14ac:dyDescent="0.3">
      <c r="B102" s="57" t="s">
        <v>256</v>
      </c>
      <c r="C102" s="57"/>
      <c r="D102" s="432"/>
      <c r="E102" s="57"/>
      <c r="F102" s="57"/>
      <c r="G102" s="78"/>
      <c r="H102" s="78"/>
      <c r="I102" s="78"/>
      <c r="J102" s="78"/>
      <c r="K102" s="78"/>
      <c r="L102" s="78"/>
      <c r="M102" s="78"/>
      <c r="N102" s="78"/>
      <c r="O102" s="78"/>
      <c r="P102" s="78"/>
      <c r="Q102" s="78"/>
      <c r="R102" s="78"/>
      <c r="S102" s="78"/>
      <c r="T102" s="78"/>
      <c r="U102" s="78"/>
      <c r="V102" s="78"/>
      <c r="W102" s="78"/>
      <c r="X102" s="78"/>
      <c r="Y102" s="78"/>
      <c r="Z102" s="78"/>
      <c r="AA102" s="78"/>
    </row>
    <row r="103" spans="2:27" x14ac:dyDescent="0.3">
      <c r="B103" s="47" t="str">
        <f>+B102</f>
        <v>Cambari</v>
      </c>
      <c r="C103" s="110">
        <v>2025</v>
      </c>
      <c r="D103" s="426">
        <v>93</v>
      </c>
      <c r="E103" s="110">
        <v>0.5</v>
      </c>
      <c r="F103" s="110"/>
      <c r="G103" s="49">
        <f t="shared" si="62"/>
        <v>0</v>
      </c>
      <c r="H103" s="49">
        <f t="shared" si="62"/>
        <v>0</v>
      </c>
      <c r="I103" s="49">
        <f t="shared" si="62"/>
        <v>0</v>
      </c>
      <c r="J103" s="49">
        <f t="shared" si="62"/>
        <v>0</v>
      </c>
      <c r="K103" s="49">
        <f t="shared" si="62"/>
        <v>0</v>
      </c>
      <c r="L103" s="49">
        <f t="shared" si="62"/>
        <v>0</v>
      </c>
      <c r="M103" s="49">
        <f t="shared" si="62"/>
        <v>0</v>
      </c>
      <c r="N103" s="49">
        <f t="shared" si="62"/>
        <v>0</v>
      </c>
      <c r="O103" s="49">
        <f t="shared" si="62"/>
        <v>0</v>
      </c>
      <c r="P103" s="49">
        <f t="shared" si="62"/>
        <v>0</v>
      </c>
      <c r="Q103" s="49">
        <f t="shared" si="62"/>
        <v>0</v>
      </c>
      <c r="R103" s="49">
        <f t="shared" si="62"/>
        <v>0</v>
      </c>
      <c r="S103" s="49">
        <f t="shared" si="62"/>
        <v>0</v>
      </c>
      <c r="T103" s="49">
        <f t="shared" si="62"/>
        <v>0</v>
      </c>
      <c r="U103" s="49">
        <f t="shared" si="62"/>
        <v>0</v>
      </c>
      <c r="V103" s="49">
        <f t="shared" si="62"/>
        <v>407340</v>
      </c>
      <c r="W103" s="49">
        <f t="shared" si="63"/>
        <v>407340</v>
      </c>
      <c r="X103" s="49">
        <f t="shared" si="63"/>
        <v>407340</v>
      </c>
      <c r="Y103" s="49">
        <f t="shared" si="63"/>
        <v>407340</v>
      </c>
      <c r="Z103" s="49">
        <f t="shared" si="63"/>
        <v>407340</v>
      </c>
      <c r="AA103" s="49">
        <f t="shared" si="63"/>
        <v>407340</v>
      </c>
    </row>
    <row r="104" spans="2:27" x14ac:dyDescent="0.3">
      <c r="B104" s="57" t="s">
        <v>257</v>
      </c>
      <c r="C104" s="57"/>
      <c r="D104" s="432"/>
      <c r="E104" s="57"/>
      <c r="F104" s="57"/>
      <c r="G104" s="78"/>
      <c r="H104" s="78"/>
      <c r="I104" s="78"/>
      <c r="J104" s="78"/>
      <c r="K104" s="78"/>
      <c r="L104" s="78"/>
      <c r="M104" s="78"/>
      <c r="N104" s="78"/>
      <c r="O104" s="78"/>
      <c r="P104" s="78"/>
      <c r="Q104" s="78"/>
      <c r="R104" s="78"/>
      <c r="S104" s="78"/>
      <c r="T104" s="78"/>
      <c r="U104" s="78"/>
      <c r="V104" s="78"/>
      <c r="W104" s="78"/>
      <c r="X104" s="78"/>
      <c r="Y104" s="78"/>
      <c r="Z104" s="78"/>
      <c r="AA104" s="78"/>
    </row>
    <row r="105" spans="2:27" x14ac:dyDescent="0.3">
      <c r="B105" s="47" t="str">
        <f>+B104</f>
        <v>Cuenca Corani</v>
      </c>
      <c r="C105" s="110">
        <v>2025</v>
      </c>
      <c r="D105" s="426">
        <v>220</v>
      </c>
      <c r="E105" s="110">
        <v>0.5</v>
      </c>
      <c r="F105" s="110"/>
      <c r="G105" s="49">
        <f t="shared" si="62"/>
        <v>0</v>
      </c>
      <c r="H105" s="49">
        <f t="shared" si="62"/>
        <v>0</v>
      </c>
      <c r="I105" s="49">
        <f t="shared" si="62"/>
        <v>0</v>
      </c>
      <c r="J105" s="49">
        <f t="shared" si="62"/>
        <v>0</v>
      </c>
      <c r="K105" s="49">
        <f t="shared" si="62"/>
        <v>0</v>
      </c>
      <c r="L105" s="49">
        <f t="shared" si="62"/>
        <v>0</v>
      </c>
      <c r="M105" s="49">
        <f t="shared" si="62"/>
        <v>0</v>
      </c>
      <c r="N105" s="49">
        <f t="shared" si="62"/>
        <v>0</v>
      </c>
      <c r="O105" s="49">
        <f t="shared" si="62"/>
        <v>0</v>
      </c>
      <c r="P105" s="49">
        <f t="shared" si="62"/>
        <v>0</v>
      </c>
      <c r="Q105" s="49">
        <f t="shared" si="62"/>
        <v>0</v>
      </c>
      <c r="R105" s="49">
        <f t="shared" si="62"/>
        <v>0</v>
      </c>
      <c r="S105" s="49">
        <f t="shared" si="62"/>
        <v>0</v>
      </c>
      <c r="T105" s="49">
        <f t="shared" si="62"/>
        <v>0</v>
      </c>
      <c r="U105" s="49">
        <f t="shared" si="62"/>
        <v>0</v>
      </c>
      <c r="V105" s="49">
        <f t="shared" si="62"/>
        <v>963600</v>
      </c>
      <c r="W105" s="49">
        <f t="shared" si="63"/>
        <v>963600</v>
      </c>
      <c r="X105" s="49">
        <f t="shared" si="63"/>
        <v>963600</v>
      </c>
      <c r="Y105" s="49">
        <f t="shared" si="63"/>
        <v>963600</v>
      </c>
      <c r="Z105" s="49">
        <f t="shared" si="63"/>
        <v>963600</v>
      </c>
      <c r="AA105" s="49">
        <f t="shared" si="63"/>
        <v>963600</v>
      </c>
    </row>
    <row r="106" spans="2:27" x14ac:dyDescent="0.3">
      <c r="B106" s="57" t="s">
        <v>470</v>
      </c>
      <c r="C106" s="57"/>
      <c r="D106" s="432"/>
      <c r="E106" s="57"/>
      <c r="F106" s="57"/>
      <c r="G106" s="78"/>
      <c r="H106" s="78"/>
      <c r="I106" s="78"/>
      <c r="J106" s="78"/>
      <c r="K106" s="78"/>
      <c r="L106" s="78"/>
      <c r="M106" s="78"/>
      <c r="N106" s="78"/>
      <c r="O106" s="78"/>
      <c r="P106" s="78"/>
      <c r="Q106" s="78"/>
      <c r="R106" s="78"/>
      <c r="S106" s="78"/>
      <c r="T106" s="78"/>
      <c r="U106" s="78"/>
      <c r="V106" s="78"/>
      <c r="W106" s="78"/>
      <c r="X106" s="78"/>
      <c r="Y106" s="78"/>
      <c r="Z106" s="78"/>
      <c r="AA106" s="78"/>
    </row>
    <row r="107" spans="2:27" x14ac:dyDescent="0.3">
      <c r="B107" s="47" t="str">
        <f>+B106</f>
        <v>Moliineros</v>
      </c>
      <c r="C107" s="110">
        <v>2025</v>
      </c>
      <c r="D107" s="426">
        <v>132</v>
      </c>
      <c r="E107" s="110">
        <v>0.5</v>
      </c>
      <c r="F107" s="110"/>
      <c r="G107" s="49">
        <f t="shared" si="62"/>
        <v>0</v>
      </c>
      <c r="H107" s="49">
        <f t="shared" si="62"/>
        <v>0</v>
      </c>
      <c r="I107" s="49">
        <f t="shared" si="62"/>
        <v>0</v>
      </c>
      <c r="J107" s="49">
        <f t="shared" si="62"/>
        <v>0</v>
      </c>
      <c r="K107" s="49">
        <f t="shared" si="62"/>
        <v>0</v>
      </c>
      <c r="L107" s="49">
        <f t="shared" si="62"/>
        <v>0</v>
      </c>
      <c r="M107" s="49">
        <f t="shared" si="62"/>
        <v>0</v>
      </c>
      <c r="N107" s="49">
        <f t="shared" si="62"/>
        <v>0</v>
      </c>
      <c r="O107" s="49">
        <f t="shared" si="62"/>
        <v>0</v>
      </c>
      <c r="P107" s="49">
        <f t="shared" si="62"/>
        <v>0</v>
      </c>
      <c r="Q107" s="49">
        <f t="shared" si="62"/>
        <v>0</v>
      </c>
      <c r="R107" s="49">
        <f t="shared" si="62"/>
        <v>0</v>
      </c>
      <c r="S107" s="49">
        <f t="shared" si="62"/>
        <v>0</v>
      </c>
      <c r="T107" s="49">
        <f t="shared" si="62"/>
        <v>0</v>
      </c>
      <c r="U107" s="49">
        <f t="shared" si="62"/>
        <v>0</v>
      </c>
      <c r="V107" s="49">
        <f t="shared" si="62"/>
        <v>578160</v>
      </c>
      <c r="W107" s="49">
        <f t="shared" si="63"/>
        <v>578160</v>
      </c>
      <c r="X107" s="49">
        <f t="shared" si="63"/>
        <v>578160</v>
      </c>
      <c r="Y107" s="49">
        <f t="shared" si="63"/>
        <v>578160</v>
      </c>
      <c r="Z107" s="49">
        <f t="shared" si="63"/>
        <v>578160</v>
      </c>
      <c r="AA107" s="49">
        <f t="shared" si="63"/>
        <v>578160</v>
      </c>
    </row>
    <row r="108" spans="2:27" x14ac:dyDescent="0.3">
      <c r="B108" s="57" t="s">
        <v>254</v>
      </c>
      <c r="C108" s="57"/>
      <c r="D108" s="432"/>
      <c r="E108" s="57"/>
      <c r="F108" s="57"/>
      <c r="G108" s="78"/>
      <c r="H108" s="78"/>
      <c r="I108" s="78"/>
      <c r="J108" s="78"/>
      <c r="K108" s="78"/>
      <c r="L108" s="78"/>
      <c r="M108" s="78"/>
      <c r="N108" s="78"/>
      <c r="O108" s="78"/>
      <c r="P108" s="78"/>
      <c r="Q108" s="78"/>
      <c r="R108" s="78"/>
      <c r="S108" s="78"/>
      <c r="T108" s="78"/>
      <c r="U108" s="78"/>
      <c r="V108" s="78"/>
      <c r="W108" s="78"/>
      <c r="X108" s="78"/>
      <c r="Y108" s="78"/>
      <c r="Z108" s="78"/>
      <c r="AA108" s="78"/>
    </row>
    <row r="109" spans="2:27" x14ac:dyDescent="0.3">
      <c r="B109" s="47" t="str">
        <f>+B108</f>
        <v>Rositas</v>
      </c>
      <c r="C109" s="110">
        <v>2025</v>
      </c>
      <c r="D109" s="426">
        <v>600</v>
      </c>
      <c r="E109" s="110">
        <v>0.5</v>
      </c>
      <c r="F109" s="110"/>
      <c r="G109" s="49">
        <f t="shared" si="62"/>
        <v>0</v>
      </c>
      <c r="H109" s="49">
        <f t="shared" ref="H109:V109" si="64">+IF($C109&lt;=H$52,$D109*8760*$E109,0)</f>
        <v>0</v>
      </c>
      <c r="I109" s="49">
        <f t="shared" si="64"/>
        <v>0</v>
      </c>
      <c r="J109" s="49">
        <f t="shared" si="64"/>
        <v>0</v>
      </c>
      <c r="K109" s="49">
        <f t="shared" si="64"/>
        <v>0</v>
      </c>
      <c r="L109" s="49">
        <f t="shared" si="64"/>
        <v>0</v>
      </c>
      <c r="M109" s="49">
        <f t="shared" si="64"/>
        <v>0</v>
      </c>
      <c r="N109" s="49">
        <f t="shared" si="64"/>
        <v>0</v>
      </c>
      <c r="O109" s="49">
        <f t="shared" si="64"/>
        <v>0</v>
      </c>
      <c r="P109" s="49">
        <f t="shared" si="64"/>
        <v>0</v>
      </c>
      <c r="Q109" s="49">
        <f t="shared" si="64"/>
        <v>0</v>
      </c>
      <c r="R109" s="49">
        <f t="shared" si="64"/>
        <v>0</v>
      </c>
      <c r="S109" s="49">
        <f t="shared" si="64"/>
        <v>0</v>
      </c>
      <c r="T109" s="49">
        <f t="shared" si="64"/>
        <v>0</v>
      </c>
      <c r="U109" s="49">
        <f t="shared" si="64"/>
        <v>0</v>
      </c>
      <c r="V109" s="49">
        <f t="shared" si="64"/>
        <v>2628000</v>
      </c>
      <c r="W109" s="49">
        <f t="shared" si="63"/>
        <v>2628000</v>
      </c>
      <c r="X109" s="49">
        <f t="shared" si="63"/>
        <v>2628000</v>
      </c>
      <c r="Y109" s="49">
        <f t="shared" si="63"/>
        <v>2628000</v>
      </c>
      <c r="Z109" s="49">
        <f t="shared" si="63"/>
        <v>2628000</v>
      </c>
      <c r="AA109" s="49">
        <f t="shared" si="63"/>
        <v>2628000</v>
      </c>
    </row>
    <row r="110" spans="2:27" x14ac:dyDescent="0.3">
      <c r="B110" s="57" t="s">
        <v>303</v>
      </c>
      <c r="C110" s="57"/>
      <c r="D110" s="432"/>
      <c r="E110" s="57"/>
      <c r="F110" s="57"/>
      <c r="G110" s="78"/>
      <c r="H110" s="78"/>
      <c r="I110" s="78"/>
      <c r="J110" s="78"/>
      <c r="K110" s="78"/>
      <c r="L110" s="78"/>
      <c r="M110" s="78"/>
      <c r="N110" s="78"/>
      <c r="O110" s="78"/>
      <c r="P110" s="78"/>
      <c r="Q110" s="78"/>
      <c r="R110" s="78"/>
      <c r="S110" s="78"/>
      <c r="T110" s="78"/>
      <c r="U110" s="78"/>
      <c r="V110" s="78"/>
      <c r="W110" s="78"/>
      <c r="X110" s="78"/>
      <c r="Y110" s="78"/>
      <c r="Z110" s="78"/>
      <c r="AA110" s="78"/>
    </row>
    <row r="111" spans="2:27" x14ac:dyDescent="0.3">
      <c r="B111" s="47" t="str">
        <f>+B110</f>
        <v>Icla</v>
      </c>
      <c r="C111" s="110">
        <v>2029</v>
      </c>
      <c r="D111" s="426">
        <v>102</v>
      </c>
      <c r="E111" s="110">
        <v>0.53</v>
      </c>
      <c r="F111" s="110"/>
      <c r="G111" s="49">
        <f t="shared" ref="G111:V111" si="65">+IF($C111&lt;=G$52,$D111*8760*$E111,0)</f>
        <v>0</v>
      </c>
      <c r="H111" s="49">
        <f t="shared" si="65"/>
        <v>0</v>
      </c>
      <c r="I111" s="49">
        <f t="shared" si="65"/>
        <v>0</v>
      </c>
      <c r="J111" s="49">
        <f t="shared" si="65"/>
        <v>0</v>
      </c>
      <c r="K111" s="49">
        <f t="shared" si="65"/>
        <v>0</v>
      </c>
      <c r="L111" s="49">
        <f t="shared" si="65"/>
        <v>0</v>
      </c>
      <c r="M111" s="49">
        <f t="shared" si="65"/>
        <v>0</v>
      </c>
      <c r="N111" s="49">
        <f t="shared" si="65"/>
        <v>0</v>
      </c>
      <c r="O111" s="49">
        <f t="shared" si="65"/>
        <v>0</v>
      </c>
      <c r="P111" s="49">
        <f t="shared" si="65"/>
        <v>0</v>
      </c>
      <c r="Q111" s="49">
        <f t="shared" si="65"/>
        <v>0</v>
      </c>
      <c r="R111" s="49">
        <f t="shared" si="65"/>
        <v>0</v>
      </c>
      <c r="S111" s="49">
        <f t="shared" si="65"/>
        <v>0</v>
      </c>
      <c r="T111" s="49">
        <f t="shared" si="65"/>
        <v>0</v>
      </c>
      <c r="U111" s="49">
        <f t="shared" si="65"/>
        <v>0</v>
      </c>
      <c r="V111" s="49">
        <f t="shared" si="65"/>
        <v>0</v>
      </c>
      <c r="W111" s="49">
        <f t="shared" si="63"/>
        <v>0</v>
      </c>
      <c r="X111" s="49">
        <f t="shared" si="63"/>
        <v>0</v>
      </c>
      <c r="Y111" s="49">
        <f t="shared" si="63"/>
        <v>0</v>
      </c>
      <c r="Z111" s="49">
        <f t="shared" si="63"/>
        <v>473565.60000000003</v>
      </c>
      <c r="AA111" s="49">
        <f t="shared" si="63"/>
        <v>473565.60000000003</v>
      </c>
    </row>
    <row r="112" spans="2:27" x14ac:dyDescent="0.3">
      <c r="B112" s="57" t="s">
        <v>304</v>
      </c>
      <c r="C112" s="57"/>
      <c r="D112" s="432"/>
      <c r="E112" s="57"/>
      <c r="F112" s="57"/>
      <c r="G112" s="78"/>
      <c r="H112" s="78"/>
      <c r="I112" s="78"/>
      <c r="J112" s="78"/>
      <c r="K112" s="78"/>
      <c r="L112" s="78"/>
      <c r="M112" s="78"/>
      <c r="N112" s="78"/>
      <c r="O112" s="78"/>
      <c r="P112" s="78"/>
      <c r="Q112" s="78"/>
      <c r="R112" s="78"/>
      <c r="S112" s="78"/>
      <c r="T112" s="78"/>
      <c r="U112" s="78"/>
      <c r="V112" s="78"/>
      <c r="W112" s="78"/>
      <c r="X112" s="78"/>
      <c r="Y112" s="78"/>
      <c r="Z112" s="78"/>
      <c r="AA112" s="78"/>
    </row>
    <row r="113" spans="2:27" x14ac:dyDescent="0.3">
      <c r="B113" s="47" t="str">
        <f>+B112</f>
        <v>Margarita</v>
      </c>
      <c r="C113" s="110">
        <v>2029</v>
      </c>
      <c r="D113" s="426">
        <v>150</v>
      </c>
      <c r="E113" s="110">
        <v>0.53</v>
      </c>
      <c r="F113" s="110"/>
      <c r="G113" s="49">
        <f t="shared" ref="G113:V113" si="66">+IF($C113&lt;=G$52,$D113*8760*$E113,0)</f>
        <v>0</v>
      </c>
      <c r="H113" s="49">
        <f t="shared" si="66"/>
        <v>0</v>
      </c>
      <c r="I113" s="49">
        <f t="shared" si="66"/>
        <v>0</v>
      </c>
      <c r="J113" s="49">
        <f t="shared" si="66"/>
        <v>0</v>
      </c>
      <c r="K113" s="49">
        <f t="shared" si="66"/>
        <v>0</v>
      </c>
      <c r="L113" s="49">
        <f t="shared" si="66"/>
        <v>0</v>
      </c>
      <c r="M113" s="49">
        <f t="shared" si="66"/>
        <v>0</v>
      </c>
      <c r="N113" s="49">
        <f t="shared" si="66"/>
        <v>0</v>
      </c>
      <c r="O113" s="49">
        <f t="shared" si="66"/>
        <v>0</v>
      </c>
      <c r="P113" s="49">
        <f t="shared" si="66"/>
        <v>0</v>
      </c>
      <c r="Q113" s="49">
        <f t="shared" si="66"/>
        <v>0</v>
      </c>
      <c r="R113" s="49">
        <f t="shared" si="66"/>
        <v>0</v>
      </c>
      <c r="S113" s="49">
        <f t="shared" si="66"/>
        <v>0</v>
      </c>
      <c r="T113" s="49">
        <f t="shared" si="66"/>
        <v>0</v>
      </c>
      <c r="U113" s="49">
        <f t="shared" si="66"/>
        <v>0</v>
      </c>
      <c r="V113" s="49">
        <f t="shared" si="66"/>
        <v>0</v>
      </c>
      <c r="W113" s="49">
        <f t="shared" si="63"/>
        <v>0</v>
      </c>
      <c r="X113" s="49">
        <f t="shared" si="63"/>
        <v>0</v>
      </c>
      <c r="Y113" s="49">
        <f t="shared" si="63"/>
        <v>0</v>
      </c>
      <c r="Z113" s="49">
        <f t="shared" si="63"/>
        <v>696420</v>
      </c>
      <c r="AA113" s="49">
        <f t="shared" si="63"/>
        <v>696420</v>
      </c>
    </row>
    <row r="114" spans="2:27" x14ac:dyDescent="0.3">
      <c r="B114" s="57" t="s">
        <v>305</v>
      </c>
      <c r="C114" s="57"/>
      <c r="D114" s="432"/>
      <c r="E114" s="57"/>
      <c r="F114" s="57"/>
      <c r="G114" s="78"/>
      <c r="H114" s="78"/>
      <c r="I114" s="78"/>
      <c r="J114" s="78"/>
      <c r="K114" s="78"/>
      <c r="L114" s="78"/>
      <c r="M114" s="78"/>
      <c r="N114" s="78"/>
      <c r="O114" s="78"/>
      <c r="P114" s="78"/>
      <c r="Q114" s="78"/>
      <c r="R114" s="78"/>
      <c r="S114" s="78"/>
      <c r="T114" s="78"/>
      <c r="U114" s="78"/>
      <c r="V114" s="78"/>
      <c r="W114" s="78"/>
      <c r="X114" s="78"/>
      <c r="Y114" s="78"/>
      <c r="Z114" s="78"/>
      <c r="AA114" s="78"/>
    </row>
    <row r="115" spans="2:27" x14ac:dyDescent="0.3">
      <c r="B115" s="47" t="str">
        <f>+B114</f>
        <v>Río Grande (excl. Juntas)</v>
      </c>
      <c r="C115" s="110">
        <v>2029</v>
      </c>
      <c r="D115" s="426">
        <f>3072-172</f>
        <v>2900</v>
      </c>
      <c r="E115" s="110">
        <v>0.53</v>
      </c>
      <c r="F115" s="110"/>
      <c r="G115" s="49">
        <f t="shared" ref="G115:V115" si="67">+IF($C115&lt;=G$52,$D115*8760*$E115,0)</f>
        <v>0</v>
      </c>
      <c r="H115" s="49">
        <f t="shared" si="67"/>
        <v>0</v>
      </c>
      <c r="I115" s="49">
        <f t="shared" si="67"/>
        <v>0</v>
      </c>
      <c r="J115" s="49">
        <f t="shared" si="67"/>
        <v>0</v>
      </c>
      <c r="K115" s="49">
        <f t="shared" si="67"/>
        <v>0</v>
      </c>
      <c r="L115" s="49">
        <f t="shared" si="67"/>
        <v>0</v>
      </c>
      <c r="M115" s="49">
        <f t="shared" si="67"/>
        <v>0</v>
      </c>
      <c r="N115" s="49">
        <f t="shared" si="67"/>
        <v>0</v>
      </c>
      <c r="O115" s="49">
        <f t="shared" si="67"/>
        <v>0</v>
      </c>
      <c r="P115" s="49">
        <f t="shared" si="67"/>
        <v>0</v>
      </c>
      <c r="Q115" s="49">
        <f t="shared" si="67"/>
        <v>0</v>
      </c>
      <c r="R115" s="49">
        <f t="shared" si="67"/>
        <v>0</v>
      </c>
      <c r="S115" s="49">
        <f t="shared" si="67"/>
        <v>0</v>
      </c>
      <c r="T115" s="49">
        <f t="shared" si="67"/>
        <v>0</v>
      </c>
      <c r="U115" s="49">
        <f t="shared" si="67"/>
        <v>0</v>
      </c>
      <c r="V115" s="49">
        <f t="shared" si="67"/>
        <v>0</v>
      </c>
      <c r="W115" s="49">
        <f t="shared" si="63"/>
        <v>0</v>
      </c>
      <c r="X115" s="49">
        <f t="shared" si="63"/>
        <v>0</v>
      </c>
      <c r="Y115" s="49">
        <f t="shared" si="63"/>
        <v>0</v>
      </c>
      <c r="Z115" s="49">
        <f t="shared" si="63"/>
        <v>13464120</v>
      </c>
      <c r="AA115" s="49">
        <f t="shared" si="63"/>
        <v>13464120</v>
      </c>
    </row>
    <row r="116" spans="2:27" x14ac:dyDescent="0.3">
      <c r="B116" s="57" t="s">
        <v>471</v>
      </c>
      <c r="C116" s="57"/>
      <c r="D116" s="432"/>
      <c r="E116" s="57"/>
      <c r="F116" s="57"/>
      <c r="G116" s="78"/>
      <c r="H116" s="78"/>
      <c r="I116" s="78"/>
      <c r="J116" s="78"/>
      <c r="K116" s="78"/>
      <c r="L116" s="78"/>
      <c r="M116" s="78"/>
      <c r="N116" s="78"/>
      <c r="O116" s="78"/>
      <c r="P116" s="78"/>
      <c r="Q116" s="78"/>
      <c r="R116" s="78"/>
      <c r="S116" s="78"/>
      <c r="T116" s="78"/>
      <c r="U116" s="78"/>
      <c r="V116" s="78"/>
      <c r="W116" s="78"/>
      <c r="X116" s="78"/>
      <c r="Y116" s="78"/>
      <c r="Z116" s="78"/>
      <c r="AA116" s="78"/>
    </row>
    <row r="117" spans="2:27" x14ac:dyDescent="0.3">
      <c r="B117" s="47" t="str">
        <f>+B116</f>
        <v>Otras  nuevas plantas</v>
      </c>
      <c r="C117" s="110">
        <v>2029</v>
      </c>
      <c r="D117" s="426">
        <v>360</v>
      </c>
      <c r="E117" s="110">
        <v>0.53</v>
      </c>
      <c r="F117" s="110"/>
      <c r="G117" s="49">
        <f t="shared" ref="G117:V117" si="68">+IF($C117&lt;=G$52,$D117*8760*$E117,0)</f>
        <v>0</v>
      </c>
      <c r="H117" s="49">
        <f t="shared" si="68"/>
        <v>0</v>
      </c>
      <c r="I117" s="49">
        <f t="shared" si="68"/>
        <v>0</v>
      </c>
      <c r="J117" s="49">
        <f t="shared" si="68"/>
        <v>0</v>
      </c>
      <c r="K117" s="49">
        <f t="shared" si="68"/>
        <v>0</v>
      </c>
      <c r="L117" s="49">
        <f t="shared" si="68"/>
        <v>0</v>
      </c>
      <c r="M117" s="49">
        <f t="shared" si="68"/>
        <v>0</v>
      </c>
      <c r="N117" s="49">
        <f t="shared" si="68"/>
        <v>0</v>
      </c>
      <c r="O117" s="49">
        <f t="shared" si="68"/>
        <v>0</v>
      </c>
      <c r="P117" s="49">
        <f t="shared" si="68"/>
        <v>0</v>
      </c>
      <c r="Q117" s="49">
        <f t="shared" si="68"/>
        <v>0</v>
      </c>
      <c r="R117" s="49">
        <f t="shared" si="68"/>
        <v>0</v>
      </c>
      <c r="S117" s="49">
        <f t="shared" si="68"/>
        <v>0</v>
      </c>
      <c r="T117" s="49">
        <f t="shared" si="68"/>
        <v>0</v>
      </c>
      <c r="U117" s="49">
        <f t="shared" si="68"/>
        <v>0</v>
      </c>
      <c r="V117" s="49">
        <f t="shared" si="68"/>
        <v>0</v>
      </c>
      <c r="W117" s="49">
        <f t="shared" si="63"/>
        <v>0</v>
      </c>
      <c r="X117" s="49">
        <f t="shared" si="63"/>
        <v>0</v>
      </c>
      <c r="Y117" s="49">
        <f t="shared" si="63"/>
        <v>0</v>
      </c>
      <c r="Z117" s="49">
        <f t="shared" si="63"/>
        <v>1671408</v>
      </c>
      <c r="AA117" s="49">
        <f t="shared" si="63"/>
        <v>1671408</v>
      </c>
    </row>
    <row r="118" spans="2:27" x14ac:dyDescent="0.3">
      <c r="B118" s="57" t="s">
        <v>261</v>
      </c>
      <c r="C118" s="57"/>
      <c r="D118" s="432"/>
      <c r="E118" s="57"/>
      <c r="F118" s="57"/>
      <c r="G118" s="78"/>
      <c r="H118" s="78"/>
      <c r="I118" s="78"/>
      <c r="J118" s="78"/>
      <c r="K118" s="78"/>
      <c r="L118" s="78"/>
      <c r="M118" s="78"/>
      <c r="N118" s="78"/>
      <c r="O118" s="78"/>
      <c r="P118" s="78"/>
      <c r="Q118" s="78"/>
      <c r="R118" s="78"/>
      <c r="S118" s="78"/>
      <c r="T118" s="78"/>
      <c r="U118" s="78"/>
      <c r="V118" s="78"/>
      <c r="W118" s="78"/>
      <c r="X118" s="78"/>
      <c r="Y118" s="78"/>
      <c r="Z118" s="78"/>
      <c r="AA118" s="78"/>
    </row>
    <row r="119" spans="2:27" x14ac:dyDescent="0.3">
      <c r="B119" s="47" t="str">
        <f>+B118</f>
        <v>Cachuela Esperanza</v>
      </c>
      <c r="C119" s="110">
        <v>2029</v>
      </c>
      <c r="D119" s="426">
        <v>990</v>
      </c>
      <c r="E119" s="417">
        <v>0.65725750657257509</v>
      </c>
      <c r="F119" s="110"/>
      <c r="G119" s="49">
        <f t="shared" ref="G119:V119" si="69">+IF($C119&lt;=G$52,$D119*8760*$E119,0)</f>
        <v>0</v>
      </c>
      <c r="H119" s="49">
        <f t="shared" si="69"/>
        <v>0</v>
      </c>
      <c r="I119" s="49">
        <f t="shared" si="69"/>
        <v>0</v>
      </c>
      <c r="J119" s="49">
        <f t="shared" si="69"/>
        <v>0</v>
      </c>
      <c r="K119" s="49">
        <f t="shared" si="69"/>
        <v>0</v>
      </c>
      <c r="L119" s="49">
        <f t="shared" si="69"/>
        <v>0</v>
      </c>
      <c r="M119" s="49">
        <f t="shared" si="69"/>
        <v>0</v>
      </c>
      <c r="N119" s="49">
        <f t="shared" si="69"/>
        <v>0</v>
      </c>
      <c r="O119" s="49">
        <f t="shared" si="69"/>
        <v>0</v>
      </c>
      <c r="P119" s="49">
        <f t="shared" si="69"/>
        <v>0</v>
      </c>
      <c r="Q119" s="49">
        <f t="shared" si="69"/>
        <v>0</v>
      </c>
      <c r="R119" s="49">
        <f t="shared" si="69"/>
        <v>0</v>
      </c>
      <c r="S119" s="49">
        <f t="shared" si="69"/>
        <v>0</v>
      </c>
      <c r="T119" s="49">
        <f t="shared" si="69"/>
        <v>0</v>
      </c>
      <c r="U119" s="49">
        <f t="shared" si="69"/>
        <v>0</v>
      </c>
      <c r="V119" s="49">
        <f t="shared" si="69"/>
        <v>0</v>
      </c>
      <c r="W119" s="49">
        <f t="shared" si="63"/>
        <v>0</v>
      </c>
      <c r="X119" s="49">
        <f t="shared" si="63"/>
        <v>0</v>
      </c>
      <c r="Y119" s="49">
        <f t="shared" si="63"/>
        <v>0</v>
      </c>
      <c r="Z119" s="49">
        <f t="shared" si="63"/>
        <v>5700000</v>
      </c>
      <c r="AA119" s="49">
        <f t="shared" si="63"/>
        <v>5700000</v>
      </c>
    </row>
    <row r="120" spans="2:27" x14ac:dyDescent="0.3">
      <c r="B120" s="57" t="s">
        <v>262</v>
      </c>
      <c r="C120" s="57"/>
      <c r="D120" s="432"/>
      <c r="E120" s="57"/>
      <c r="F120" s="57"/>
      <c r="G120" s="78"/>
      <c r="H120" s="78"/>
      <c r="I120" s="78"/>
      <c r="J120" s="78"/>
      <c r="K120" s="78"/>
      <c r="L120" s="78"/>
      <c r="M120" s="78"/>
      <c r="N120" s="78"/>
      <c r="O120" s="78"/>
      <c r="P120" s="78"/>
      <c r="Q120" s="78"/>
      <c r="R120" s="78"/>
      <c r="S120" s="78"/>
      <c r="T120" s="78"/>
      <c r="U120" s="78"/>
      <c r="V120" s="78"/>
      <c r="W120" s="78"/>
      <c r="X120" s="78"/>
      <c r="Y120" s="78"/>
      <c r="Z120" s="78"/>
      <c r="AA120" s="78"/>
    </row>
    <row r="121" spans="2:27" x14ac:dyDescent="0.3">
      <c r="B121" s="47" t="str">
        <f>B120</f>
        <v>El Bala</v>
      </c>
      <c r="C121" s="110">
        <v>2030</v>
      </c>
      <c r="D121" s="426">
        <v>1680</v>
      </c>
      <c r="E121" s="110">
        <v>0.5</v>
      </c>
      <c r="F121" s="110"/>
      <c r="G121" s="49">
        <f t="shared" ref="G121:V121" si="70">+IF($C121&lt;=G$52,$D121*8760*$E121,0)</f>
        <v>0</v>
      </c>
      <c r="H121" s="49">
        <f t="shared" si="70"/>
        <v>0</v>
      </c>
      <c r="I121" s="49">
        <f t="shared" si="70"/>
        <v>0</v>
      </c>
      <c r="J121" s="49">
        <f t="shared" si="70"/>
        <v>0</v>
      </c>
      <c r="K121" s="49">
        <f t="shared" si="70"/>
        <v>0</v>
      </c>
      <c r="L121" s="49">
        <f t="shared" si="70"/>
        <v>0</v>
      </c>
      <c r="M121" s="49">
        <f t="shared" si="70"/>
        <v>0</v>
      </c>
      <c r="N121" s="49">
        <f t="shared" si="70"/>
        <v>0</v>
      </c>
      <c r="O121" s="49">
        <f t="shared" si="70"/>
        <v>0</v>
      </c>
      <c r="P121" s="49">
        <f t="shared" si="70"/>
        <v>0</v>
      </c>
      <c r="Q121" s="49">
        <f t="shared" si="70"/>
        <v>0</v>
      </c>
      <c r="R121" s="49">
        <f t="shared" si="70"/>
        <v>0</v>
      </c>
      <c r="S121" s="49">
        <f t="shared" si="70"/>
        <v>0</v>
      </c>
      <c r="T121" s="49">
        <f t="shared" si="70"/>
        <v>0</v>
      </c>
      <c r="U121" s="49">
        <f t="shared" si="70"/>
        <v>0</v>
      </c>
      <c r="V121" s="49">
        <f t="shared" si="70"/>
        <v>0</v>
      </c>
      <c r="W121" s="49">
        <f t="shared" si="63"/>
        <v>0</v>
      </c>
      <c r="X121" s="49">
        <f t="shared" si="63"/>
        <v>0</v>
      </c>
      <c r="Y121" s="49">
        <f t="shared" si="63"/>
        <v>0</v>
      </c>
      <c r="Z121" s="49">
        <f t="shared" si="63"/>
        <v>0</v>
      </c>
      <c r="AA121" s="49">
        <f t="shared" si="63"/>
        <v>7358400</v>
      </c>
    </row>
    <row r="122" spans="2:27" x14ac:dyDescent="0.3">
      <c r="B122" s="57" t="s">
        <v>412</v>
      </c>
      <c r="C122" s="57"/>
      <c r="D122" s="57"/>
      <c r="E122" s="57"/>
      <c r="F122" s="57"/>
      <c r="G122" s="78"/>
      <c r="H122" s="78"/>
      <c r="I122" s="78"/>
      <c r="J122" s="78"/>
      <c r="K122" s="78"/>
      <c r="L122" s="78"/>
      <c r="M122" s="78"/>
      <c r="N122" s="78"/>
      <c r="O122" s="78"/>
      <c r="P122" s="78"/>
      <c r="Q122" s="78"/>
      <c r="R122" s="78"/>
      <c r="S122" s="78"/>
      <c r="T122" s="78"/>
      <c r="U122" s="78"/>
      <c r="V122" s="78"/>
      <c r="W122" s="78"/>
      <c r="X122" s="78"/>
      <c r="Y122" s="78"/>
      <c r="Z122" s="78"/>
      <c r="AA122" s="78"/>
    </row>
    <row r="123" spans="2:27" x14ac:dyDescent="0.3">
      <c r="B123" s="47" t="str">
        <f>B122</f>
        <v>Hydro A</v>
      </c>
      <c r="C123" s="110"/>
      <c r="D123" s="110"/>
      <c r="E123" s="110"/>
      <c r="F123" s="110"/>
      <c r="G123" s="49">
        <f t="shared" ref="G123:V123" si="71">+IF($C123&lt;=G$52,$D123*8760*$E123,0)</f>
        <v>0</v>
      </c>
      <c r="H123" s="49">
        <f t="shared" si="71"/>
        <v>0</v>
      </c>
      <c r="I123" s="49">
        <f t="shared" si="71"/>
        <v>0</v>
      </c>
      <c r="J123" s="49">
        <f t="shared" si="71"/>
        <v>0</v>
      </c>
      <c r="K123" s="49">
        <f t="shared" si="71"/>
        <v>0</v>
      </c>
      <c r="L123" s="49">
        <f t="shared" si="71"/>
        <v>0</v>
      </c>
      <c r="M123" s="49">
        <f t="shared" si="71"/>
        <v>0</v>
      </c>
      <c r="N123" s="49">
        <f t="shared" si="71"/>
        <v>0</v>
      </c>
      <c r="O123" s="49">
        <f t="shared" si="71"/>
        <v>0</v>
      </c>
      <c r="P123" s="49">
        <f t="shared" si="71"/>
        <v>0</v>
      </c>
      <c r="Q123" s="49">
        <f t="shared" si="71"/>
        <v>0</v>
      </c>
      <c r="R123" s="49">
        <f t="shared" si="71"/>
        <v>0</v>
      </c>
      <c r="S123" s="49">
        <f t="shared" si="71"/>
        <v>0</v>
      </c>
      <c r="T123" s="49">
        <f t="shared" si="71"/>
        <v>0</v>
      </c>
      <c r="U123" s="49">
        <f t="shared" si="71"/>
        <v>0</v>
      </c>
      <c r="V123" s="49">
        <f t="shared" si="71"/>
        <v>0</v>
      </c>
      <c r="W123" s="49">
        <f t="shared" si="63"/>
        <v>0</v>
      </c>
      <c r="X123" s="49">
        <f t="shared" si="63"/>
        <v>0</v>
      </c>
      <c r="Y123" s="49">
        <f t="shared" si="63"/>
        <v>0</v>
      </c>
      <c r="Z123" s="49">
        <f t="shared" si="63"/>
        <v>0</v>
      </c>
      <c r="AA123" s="49">
        <f t="shared" si="63"/>
        <v>0</v>
      </c>
    </row>
    <row r="124" spans="2:27" x14ac:dyDescent="0.3">
      <c r="B124" s="57" t="s">
        <v>413</v>
      </c>
      <c r="C124" s="57"/>
      <c r="D124" s="57"/>
      <c r="E124" s="57"/>
      <c r="F124" s="57"/>
      <c r="G124" s="78"/>
      <c r="H124" s="78"/>
      <c r="I124" s="78"/>
      <c r="J124" s="78"/>
      <c r="K124" s="78"/>
      <c r="L124" s="78"/>
      <c r="M124" s="78"/>
      <c r="N124" s="78"/>
      <c r="O124" s="78"/>
      <c r="P124" s="78"/>
      <c r="Q124" s="78"/>
      <c r="R124" s="78"/>
      <c r="S124" s="78"/>
      <c r="T124" s="78"/>
      <c r="U124" s="78"/>
      <c r="V124" s="78"/>
      <c r="W124" s="78"/>
      <c r="X124" s="78"/>
      <c r="Y124" s="78"/>
      <c r="Z124" s="78"/>
      <c r="AA124" s="78"/>
    </row>
    <row r="125" spans="2:27" x14ac:dyDescent="0.3">
      <c r="B125" s="47" t="str">
        <f>B124</f>
        <v>Hydro B</v>
      </c>
      <c r="C125" s="110"/>
      <c r="D125" s="110"/>
      <c r="E125" s="110"/>
      <c r="F125" s="110"/>
      <c r="G125" s="49">
        <f t="shared" ref="G125:V127" si="72">+IF($C125&lt;=G$52,$D125*8760*$E125,0)</f>
        <v>0</v>
      </c>
      <c r="H125" s="49">
        <f t="shared" si="72"/>
        <v>0</v>
      </c>
      <c r="I125" s="49">
        <f t="shared" si="72"/>
        <v>0</v>
      </c>
      <c r="J125" s="49">
        <f t="shared" si="72"/>
        <v>0</v>
      </c>
      <c r="K125" s="49">
        <f t="shared" si="72"/>
        <v>0</v>
      </c>
      <c r="L125" s="49">
        <f t="shared" si="72"/>
        <v>0</v>
      </c>
      <c r="M125" s="49">
        <f t="shared" si="72"/>
        <v>0</v>
      </c>
      <c r="N125" s="49">
        <f t="shared" si="72"/>
        <v>0</v>
      </c>
      <c r="O125" s="49">
        <f t="shared" si="72"/>
        <v>0</v>
      </c>
      <c r="P125" s="49">
        <f t="shared" si="72"/>
        <v>0</v>
      </c>
      <c r="Q125" s="49">
        <f t="shared" si="72"/>
        <v>0</v>
      </c>
      <c r="R125" s="49">
        <f t="shared" si="72"/>
        <v>0</v>
      </c>
      <c r="S125" s="49">
        <f t="shared" si="72"/>
        <v>0</v>
      </c>
      <c r="T125" s="49">
        <f t="shared" si="72"/>
        <v>0</v>
      </c>
      <c r="U125" s="49">
        <f t="shared" si="72"/>
        <v>0</v>
      </c>
      <c r="V125" s="49">
        <f t="shared" si="72"/>
        <v>0</v>
      </c>
      <c r="W125" s="49">
        <f t="shared" si="63"/>
        <v>0</v>
      </c>
      <c r="X125" s="49">
        <f t="shared" si="63"/>
        <v>0</v>
      </c>
      <c r="Y125" s="49">
        <f t="shared" si="63"/>
        <v>0</v>
      </c>
      <c r="Z125" s="49">
        <f t="shared" si="63"/>
        <v>0</v>
      </c>
      <c r="AA125" s="49">
        <f t="shared" si="63"/>
        <v>0</v>
      </c>
    </row>
    <row r="126" spans="2:27" x14ac:dyDescent="0.3">
      <c r="B126" s="57" t="s">
        <v>415</v>
      </c>
      <c r="C126" s="57"/>
      <c r="D126" s="57"/>
      <c r="E126" s="57"/>
      <c r="F126" s="57"/>
      <c r="G126" s="78"/>
      <c r="H126" s="78"/>
      <c r="I126" s="78"/>
      <c r="J126" s="78"/>
      <c r="K126" s="78"/>
      <c r="L126" s="78"/>
      <c r="M126" s="78"/>
      <c r="N126" s="78"/>
      <c r="O126" s="78"/>
      <c r="P126" s="78"/>
      <c r="Q126" s="78"/>
      <c r="R126" s="78"/>
      <c r="S126" s="78"/>
      <c r="T126" s="78"/>
      <c r="U126" s="78"/>
      <c r="V126" s="78"/>
      <c r="W126" s="78"/>
      <c r="X126" s="78"/>
      <c r="Y126" s="78"/>
      <c r="Z126" s="78"/>
      <c r="AA126" s="78"/>
    </row>
    <row r="127" spans="2:27" x14ac:dyDescent="0.3">
      <c r="B127" s="47" t="str">
        <f>B126</f>
        <v>Hydro C</v>
      </c>
      <c r="C127" s="110"/>
      <c r="D127" s="110"/>
      <c r="E127" s="110"/>
      <c r="F127" s="110"/>
      <c r="G127" s="49">
        <f t="shared" si="72"/>
        <v>0</v>
      </c>
      <c r="H127" s="49">
        <f t="shared" si="72"/>
        <v>0</v>
      </c>
      <c r="I127" s="49">
        <f t="shared" si="72"/>
        <v>0</v>
      </c>
      <c r="J127" s="49">
        <f t="shared" si="72"/>
        <v>0</v>
      </c>
      <c r="K127" s="49">
        <f t="shared" si="72"/>
        <v>0</v>
      </c>
      <c r="L127" s="49">
        <f t="shared" si="72"/>
        <v>0</v>
      </c>
      <c r="M127" s="49">
        <f t="shared" si="72"/>
        <v>0</v>
      </c>
      <c r="N127" s="49">
        <f t="shared" si="72"/>
        <v>0</v>
      </c>
      <c r="O127" s="49">
        <f t="shared" si="72"/>
        <v>0</v>
      </c>
      <c r="P127" s="49">
        <f t="shared" si="72"/>
        <v>0</v>
      </c>
      <c r="Q127" s="49">
        <f t="shared" si="72"/>
        <v>0</v>
      </c>
      <c r="R127" s="49">
        <f t="shared" si="72"/>
        <v>0</v>
      </c>
      <c r="S127" s="49">
        <f t="shared" si="72"/>
        <v>0</v>
      </c>
      <c r="T127" s="49">
        <f t="shared" si="72"/>
        <v>0</v>
      </c>
      <c r="U127" s="49">
        <f t="shared" si="72"/>
        <v>0</v>
      </c>
      <c r="V127" s="49">
        <f t="shared" si="72"/>
        <v>0</v>
      </c>
      <c r="W127" s="49">
        <f t="shared" si="63"/>
        <v>0</v>
      </c>
      <c r="X127" s="49">
        <f t="shared" si="63"/>
        <v>0</v>
      </c>
      <c r="Y127" s="49">
        <f t="shared" si="63"/>
        <v>0</v>
      </c>
      <c r="Z127" s="49">
        <f t="shared" si="63"/>
        <v>0</v>
      </c>
      <c r="AA127" s="49">
        <f t="shared" si="63"/>
        <v>0</v>
      </c>
    </row>
    <row r="128" spans="2:27" x14ac:dyDescent="0.3">
      <c r="B128" s="113"/>
      <c r="C128" s="28"/>
      <c r="D128" s="28"/>
      <c r="E128" s="28"/>
      <c r="F128" s="28"/>
      <c r="G128" s="30"/>
      <c r="H128" s="30"/>
      <c r="I128" s="30"/>
      <c r="J128" s="30"/>
      <c r="K128" s="30"/>
      <c r="L128" s="30"/>
      <c r="M128" s="30"/>
      <c r="N128" s="30"/>
      <c r="O128" s="30"/>
      <c r="P128" s="30"/>
      <c r="Q128" s="30"/>
      <c r="R128" s="30"/>
      <c r="S128" s="30"/>
      <c r="T128" s="30"/>
      <c r="U128" s="30"/>
      <c r="V128" s="30"/>
      <c r="W128" s="30"/>
      <c r="X128" s="30"/>
      <c r="Y128" s="30"/>
      <c r="Z128" s="30"/>
      <c r="AA128" s="30"/>
    </row>
    <row r="129" spans="2:27" x14ac:dyDescent="0.3">
      <c r="B129" s="13"/>
      <c r="C129" s="13"/>
      <c r="D129" s="13"/>
      <c r="E129" s="13"/>
      <c r="F129" s="13"/>
      <c r="G129" s="41"/>
      <c r="H129" s="41"/>
      <c r="I129" s="41"/>
      <c r="J129" s="41"/>
      <c r="K129" s="41"/>
      <c r="L129" s="41"/>
      <c r="M129" s="41"/>
      <c r="N129" s="41"/>
      <c r="O129" s="41"/>
      <c r="P129" s="41"/>
      <c r="Q129" s="41"/>
      <c r="R129" s="41"/>
      <c r="S129" s="41"/>
      <c r="T129" s="41"/>
      <c r="U129" s="41"/>
      <c r="V129" s="41"/>
      <c r="W129" s="41"/>
      <c r="X129" s="41"/>
      <c r="Y129" s="41"/>
      <c r="Z129" s="41"/>
      <c r="AA129" s="41"/>
    </row>
    <row r="130" spans="2:27" x14ac:dyDescent="0.3">
      <c r="B130" s="439"/>
      <c r="C130" s="440"/>
      <c r="D130" s="440"/>
      <c r="E130" s="440"/>
      <c r="F130" s="438"/>
      <c r="G130" s="381">
        <v>2010</v>
      </c>
      <c r="H130" s="381">
        <v>2011</v>
      </c>
      <c r="I130" s="381">
        <v>2012</v>
      </c>
      <c r="J130" s="381">
        <v>2013</v>
      </c>
      <c r="K130" s="381">
        <v>2014</v>
      </c>
      <c r="L130" s="381">
        <v>2015</v>
      </c>
      <c r="M130" s="381">
        <v>2016</v>
      </c>
      <c r="N130" s="381">
        <v>2017</v>
      </c>
      <c r="O130" s="381">
        <v>2018</v>
      </c>
      <c r="P130" s="381">
        <v>2019</v>
      </c>
      <c r="Q130" s="381">
        <v>2020</v>
      </c>
      <c r="R130" s="381">
        <v>2021</v>
      </c>
      <c r="S130" s="381">
        <v>2022</v>
      </c>
      <c r="T130" s="381">
        <v>2023</v>
      </c>
      <c r="U130" s="381">
        <v>2024</v>
      </c>
      <c r="V130" s="381">
        <v>2025</v>
      </c>
      <c r="W130" s="381">
        <v>2026</v>
      </c>
      <c r="X130" s="381">
        <v>2027</v>
      </c>
      <c r="Y130" s="381">
        <v>2028</v>
      </c>
      <c r="Z130" s="381">
        <v>2029</v>
      </c>
      <c r="AA130" s="381">
        <v>2030</v>
      </c>
    </row>
    <row r="131" spans="2:27" ht="28.8" x14ac:dyDescent="0.3">
      <c r="B131" s="84" t="s">
        <v>164</v>
      </c>
      <c r="C131" s="80" t="s">
        <v>279</v>
      </c>
      <c r="D131" s="389" t="s">
        <v>397</v>
      </c>
      <c r="E131" s="388" t="s">
        <v>247</v>
      </c>
      <c r="F131" s="388"/>
      <c r="G131" s="79" t="s">
        <v>197</v>
      </c>
      <c r="H131" s="79" t="s">
        <v>197</v>
      </c>
      <c r="I131" s="79" t="s">
        <v>197</v>
      </c>
      <c r="J131" s="79" t="s">
        <v>197</v>
      </c>
      <c r="K131" s="79" t="s">
        <v>197</v>
      </c>
      <c r="L131" s="79" t="s">
        <v>197</v>
      </c>
      <c r="M131" s="79" t="s">
        <v>197</v>
      </c>
      <c r="N131" s="79" t="s">
        <v>197</v>
      </c>
      <c r="O131" s="79" t="s">
        <v>197</v>
      </c>
      <c r="P131" s="79" t="s">
        <v>197</v>
      </c>
      <c r="Q131" s="79" t="s">
        <v>197</v>
      </c>
      <c r="R131" s="79" t="s">
        <v>197</v>
      </c>
      <c r="S131" s="79" t="s">
        <v>197</v>
      </c>
      <c r="T131" s="79" t="s">
        <v>197</v>
      </c>
      <c r="U131" s="79" t="s">
        <v>197</v>
      </c>
      <c r="V131" s="79" t="s">
        <v>197</v>
      </c>
      <c r="W131" s="79" t="s">
        <v>197</v>
      </c>
      <c r="X131" s="79" t="s">
        <v>197</v>
      </c>
      <c r="Y131" s="79" t="s">
        <v>197</v>
      </c>
      <c r="Z131" s="79" t="s">
        <v>197</v>
      </c>
      <c r="AA131" s="79" t="s">
        <v>197</v>
      </c>
    </row>
    <row r="132" spans="2:27" x14ac:dyDescent="0.3">
      <c r="B132" s="7" t="s">
        <v>8</v>
      </c>
      <c r="C132" s="11"/>
      <c r="D132" s="11"/>
      <c r="E132" s="11"/>
      <c r="F132" s="11"/>
      <c r="G132" s="85">
        <f>+SUM(G133:G147)</f>
        <v>0</v>
      </c>
      <c r="H132" s="85">
        <f t="shared" ref="H132:Z132" si="73">+SUM(H133:H147)</f>
        <v>0</v>
      </c>
      <c r="I132" s="85">
        <f t="shared" si="73"/>
        <v>0</v>
      </c>
      <c r="J132" s="85">
        <f t="shared" si="73"/>
        <v>0</v>
      </c>
      <c r="K132" s="85">
        <f t="shared" si="73"/>
        <v>0</v>
      </c>
      <c r="L132" s="85">
        <f t="shared" si="73"/>
        <v>0</v>
      </c>
      <c r="M132" s="85">
        <f t="shared" si="73"/>
        <v>0</v>
      </c>
      <c r="N132" s="85">
        <f t="shared" si="73"/>
        <v>0</v>
      </c>
      <c r="O132" s="85">
        <f t="shared" si="73"/>
        <v>0</v>
      </c>
      <c r="P132" s="85">
        <f t="shared" si="73"/>
        <v>0</v>
      </c>
      <c r="Q132" s="85">
        <f>+SUM(Q133:Q147)</f>
        <v>331128</v>
      </c>
      <c r="R132" s="85">
        <f>+SUM(R133:R147)</f>
        <v>469098</v>
      </c>
      <c r="S132" s="85">
        <f>+SUM(S133:S147)</f>
        <v>469098</v>
      </c>
      <c r="T132" s="85">
        <f t="shared" si="73"/>
        <v>469098</v>
      </c>
      <c r="U132" s="85">
        <f t="shared" si="73"/>
        <v>469098</v>
      </c>
      <c r="V132" s="85">
        <f t="shared" si="73"/>
        <v>469098</v>
      </c>
      <c r="W132" s="85">
        <f t="shared" si="73"/>
        <v>469098</v>
      </c>
      <c r="X132" s="85">
        <f t="shared" si="73"/>
        <v>469098</v>
      </c>
      <c r="Y132" s="85">
        <f t="shared" si="73"/>
        <v>469098</v>
      </c>
      <c r="Z132" s="85">
        <f t="shared" si="73"/>
        <v>469098</v>
      </c>
      <c r="AA132" s="85">
        <f>+SUM(AA133:AA147)</f>
        <v>1315314</v>
      </c>
    </row>
    <row r="133" spans="2:27" x14ac:dyDescent="0.3">
      <c r="B133" s="57" t="s">
        <v>49</v>
      </c>
      <c r="C133" s="57"/>
      <c r="D133" s="57"/>
      <c r="E133" s="57"/>
      <c r="F133" s="57"/>
      <c r="G133" s="78"/>
      <c r="H133" s="78"/>
      <c r="I133" s="78"/>
      <c r="J133" s="78"/>
      <c r="K133" s="78"/>
      <c r="L133" s="78"/>
      <c r="M133" s="78"/>
      <c r="N133" s="78"/>
      <c r="O133" s="78"/>
      <c r="P133" s="78"/>
      <c r="Q133" s="78"/>
      <c r="R133" s="78"/>
      <c r="S133" s="78"/>
      <c r="T133" s="78"/>
      <c r="U133" s="78"/>
      <c r="V133" s="78"/>
      <c r="W133" s="78"/>
      <c r="X133" s="78"/>
      <c r="Y133" s="78"/>
      <c r="Z133" s="78"/>
      <c r="AA133" s="78"/>
    </row>
    <row r="134" spans="2:27" x14ac:dyDescent="0.3">
      <c r="B134" s="47" t="s">
        <v>49</v>
      </c>
      <c r="C134" s="390">
        <v>2020</v>
      </c>
      <c r="D134" s="426">
        <v>54</v>
      </c>
      <c r="E134" s="110">
        <v>0.35</v>
      </c>
      <c r="F134" s="110"/>
      <c r="G134" s="49">
        <f>+IF($C134&lt;=G$52,$D134*8760*$E134,0)</f>
        <v>0</v>
      </c>
      <c r="H134" s="49">
        <f t="shared" ref="H134:AA147" si="74">+IF($C134&lt;=H$52,$D134*8760*$E134,0)</f>
        <v>0</v>
      </c>
      <c r="I134" s="49">
        <f t="shared" si="74"/>
        <v>0</v>
      </c>
      <c r="J134" s="49">
        <f t="shared" si="74"/>
        <v>0</v>
      </c>
      <c r="K134" s="49">
        <f t="shared" si="74"/>
        <v>0</v>
      </c>
      <c r="L134" s="49">
        <f t="shared" si="74"/>
        <v>0</v>
      </c>
      <c r="M134" s="49">
        <f t="shared" si="74"/>
        <v>0</v>
      </c>
      <c r="N134" s="49">
        <f t="shared" si="74"/>
        <v>0</v>
      </c>
      <c r="O134" s="49">
        <f t="shared" si="74"/>
        <v>0</v>
      </c>
      <c r="P134" s="49">
        <f t="shared" si="74"/>
        <v>0</v>
      </c>
      <c r="Q134" s="49">
        <f t="shared" si="74"/>
        <v>165564</v>
      </c>
      <c r="R134" s="49">
        <f t="shared" si="74"/>
        <v>165564</v>
      </c>
      <c r="S134" s="49">
        <f t="shared" si="74"/>
        <v>165564</v>
      </c>
      <c r="T134" s="49">
        <f t="shared" si="74"/>
        <v>165564</v>
      </c>
      <c r="U134" s="49">
        <f t="shared" si="74"/>
        <v>165564</v>
      </c>
      <c r="V134" s="49">
        <f t="shared" si="74"/>
        <v>165564</v>
      </c>
      <c r="W134" s="49">
        <f t="shared" si="74"/>
        <v>165564</v>
      </c>
      <c r="X134" s="49">
        <f t="shared" si="74"/>
        <v>165564</v>
      </c>
      <c r="Y134" s="49">
        <f t="shared" si="74"/>
        <v>165564</v>
      </c>
      <c r="Z134" s="49">
        <f t="shared" si="74"/>
        <v>165564</v>
      </c>
      <c r="AA134" s="49">
        <f t="shared" si="74"/>
        <v>165564</v>
      </c>
    </row>
    <row r="135" spans="2:27" x14ac:dyDescent="0.3">
      <c r="B135" s="57" t="s">
        <v>53</v>
      </c>
      <c r="C135" s="57"/>
      <c r="D135" s="392"/>
      <c r="E135" s="392"/>
      <c r="F135" s="392"/>
      <c r="G135" s="78"/>
      <c r="H135" s="78"/>
      <c r="I135" s="78"/>
      <c r="J135" s="78"/>
      <c r="K135" s="78"/>
      <c r="L135" s="78"/>
      <c r="M135" s="78"/>
      <c r="N135" s="78"/>
      <c r="O135" s="78"/>
      <c r="P135" s="78"/>
      <c r="Q135" s="78"/>
      <c r="R135" s="78"/>
      <c r="S135" s="78"/>
      <c r="T135" s="78"/>
      <c r="U135" s="78"/>
      <c r="V135" s="78"/>
      <c r="W135" s="78"/>
      <c r="X135" s="78"/>
      <c r="Y135" s="78"/>
      <c r="Z135" s="78"/>
      <c r="AA135" s="78"/>
    </row>
    <row r="136" spans="2:27" x14ac:dyDescent="0.3">
      <c r="B136" s="47" t="s">
        <v>53</v>
      </c>
      <c r="C136" s="390">
        <v>2021</v>
      </c>
      <c r="D136" s="426">
        <v>24</v>
      </c>
      <c r="E136" s="110">
        <v>0.35</v>
      </c>
      <c r="F136" s="110"/>
      <c r="G136" s="49">
        <f>+IF($C136&lt;=G$52,$D136*8760*$E136,0)</f>
        <v>0</v>
      </c>
      <c r="H136" s="49">
        <f t="shared" si="74"/>
        <v>0</v>
      </c>
      <c r="I136" s="49">
        <f t="shared" si="74"/>
        <v>0</v>
      </c>
      <c r="J136" s="49">
        <f t="shared" si="74"/>
        <v>0</v>
      </c>
      <c r="K136" s="49">
        <f t="shared" si="74"/>
        <v>0</v>
      </c>
      <c r="L136" s="49">
        <f t="shared" si="74"/>
        <v>0</v>
      </c>
      <c r="M136" s="49">
        <f t="shared" si="74"/>
        <v>0</v>
      </c>
      <c r="N136" s="49">
        <f t="shared" si="74"/>
        <v>0</v>
      </c>
      <c r="O136" s="49">
        <f t="shared" si="74"/>
        <v>0</v>
      </c>
      <c r="P136" s="49">
        <f t="shared" si="74"/>
        <v>0</v>
      </c>
      <c r="Q136" s="49">
        <f t="shared" si="74"/>
        <v>0</v>
      </c>
      <c r="R136" s="49">
        <f t="shared" si="74"/>
        <v>73584</v>
      </c>
      <c r="S136" s="49">
        <f t="shared" si="74"/>
        <v>73584</v>
      </c>
      <c r="T136" s="49">
        <f t="shared" si="74"/>
        <v>73584</v>
      </c>
      <c r="U136" s="49">
        <f t="shared" si="74"/>
        <v>73584</v>
      </c>
      <c r="V136" s="49">
        <f t="shared" si="74"/>
        <v>73584</v>
      </c>
      <c r="W136" s="49">
        <f t="shared" si="74"/>
        <v>73584</v>
      </c>
      <c r="X136" s="49">
        <f t="shared" si="74"/>
        <v>73584</v>
      </c>
      <c r="Y136" s="49">
        <f t="shared" si="74"/>
        <v>73584</v>
      </c>
      <c r="Z136" s="49">
        <f t="shared" si="74"/>
        <v>73584</v>
      </c>
      <c r="AA136" s="49">
        <f t="shared" si="74"/>
        <v>73584</v>
      </c>
    </row>
    <row r="137" spans="2:27" x14ac:dyDescent="0.3">
      <c r="B137" s="57" t="s">
        <v>48</v>
      </c>
      <c r="C137" s="57"/>
      <c r="D137" s="392"/>
      <c r="E137" s="392"/>
      <c r="F137" s="392"/>
      <c r="G137" s="78"/>
      <c r="H137" s="78"/>
      <c r="I137" s="78"/>
      <c r="J137" s="78"/>
      <c r="K137" s="78"/>
      <c r="L137" s="78"/>
      <c r="M137" s="78"/>
      <c r="N137" s="78"/>
      <c r="O137" s="78"/>
      <c r="P137" s="78"/>
      <c r="Q137" s="78"/>
      <c r="R137" s="78"/>
      <c r="S137" s="78"/>
      <c r="T137" s="78"/>
      <c r="U137" s="78"/>
      <c r="V137" s="78"/>
      <c r="W137" s="78"/>
      <c r="X137" s="78"/>
      <c r="Y137" s="78"/>
      <c r="Z137" s="78"/>
      <c r="AA137" s="78"/>
    </row>
    <row r="138" spans="2:27" x14ac:dyDescent="0.3">
      <c r="B138" s="47" t="s">
        <v>48</v>
      </c>
      <c r="C138" s="390">
        <v>2020</v>
      </c>
      <c r="D138" s="426">
        <v>39.6</v>
      </c>
      <c r="E138" s="110">
        <v>0.35</v>
      </c>
      <c r="F138" s="110"/>
      <c r="G138" s="49">
        <f>+IF($C138&lt;=G$52,$D138*8760*$E138,0)</f>
        <v>0</v>
      </c>
      <c r="H138" s="49">
        <f t="shared" si="74"/>
        <v>0</v>
      </c>
      <c r="I138" s="49">
        <f t="shared" si="74"/>
        <v>0</v>
      </c>
      <c r="J138" s="49">
        <f t="shared" si="74"/>
        <v>0</v>
      </c>
      <c r="K138" s="49">
        <f t="shared" si="74"/>
        <v>0</v>
      </c>
      <c r="L138" s="49">
        <f t="shared" si="74"/>
        <v>0</v>
      </c>
      <c r="M138" s="49">
        <f t="shared" si="74"/>
        <v>0</v>
      </c>
      <c r="N138" s="49">
        <f t="shared" si="74"/>
        <v>0</v>
      </c>
      <c r="O138" s="49">
        <f t="shared" si="74"/>
        <v>0</v>
      </c>
      <c r="P138" s="49">
        <f t="shared" si="74"/>
        <v>0</v>
      </c>
      <c r="Q138" s="49">
        <f t="shared" si="74"/>
        <v>121413.59999999999</v>
      </c>
      <c r="R138" s="49">
        <f t="shared" si="74"/>
        <v>121413.59999999999</v>
      </c>
      <c r="S138" s="49">
        <f t="shared" si="74"/>
        <v>121413.59999999999</v>
      </c>
      <c r="T138" s="49">
        <f t="shared" si="74"/>
        <v>121413.59999999999</v>
      </c>
      <c r="U138" s="49">
        <f t="shared" si="74"/>
        <v>121413.59999999999</v>
      </c>
      <c r="V138" s="49">
        <f t="shared" si="74"/>
        <v>121413.59999999999</v>
      </c>
      <c r="W138" s="49">
        <f t="shared" si="74"/>
        <v>121413.59999999999</v>
      </c>
      <c r="X138" s="49">
        <f t="shared" si="74"/>
        <v>121413.59999999999</v>
      </c>
      <c r="Y138" s="49">
        <f t="shared" si="74"/>
        <v>121413.59999999999</v>
      </c>
      <c r="Z138" s="49">
        <f t="shared" si="74"/>
        <v>121413.59999999999</v>
      </c>
      <c r="AA138" s="49">
        <f t="shared" si="74"/>
        <v>121413.59999999999</v>
      </c>
    </row>
    <row r="139" spans="2:27" x14ac:dyDescent="0.3">
      <c r="B139" s="57" t="s">
        <v>25</v>
      </c>
      <c r="C139" s="57"/>
      <c r="D139" s="57"/>
      <c r="E139" s="57"/>
      <c r="F139" s="57"/>
      <c r="G139" s="78"/>
      <c r="H139" s="78"/>
      <c r="I139" s="78"/>
      <c r="J139" s="78"/>
      <c r="K139" s="78"/>
      <c r="L139" s="78"/>
      <c r="M139" s="78"/>
      <c r="N139" s="78"/>
      <c r="O139" s="78"/>
      <c r="P139" s="78"/>
      <c r="Q139" s="78"/>
      <c r="R139" s="78"/>
      <c r="S139" s="78"/>
      <c r="T139" s="78"/>
      <c r="U139" s="78"/>
      <c r="V139" s="78"/>
      <c r="W139" s="78"/>
      <c r="X139" s="78"/>
      <c r="Y139" s="78"/>
      <c r="Z139" s="78"/>
      <c r="AA139" s="78"/>
    </row>
    <row r="140" spans="2:27" x14ac:dyDescent="0.3">
      <c r="B140" s="47" t="s">
        <v>58</v>
      </c>
      <c r="C140" s="110">
        <v>2020</v>
      </c>
      <c r="D140" s="426">
        <v>14.4</v>
      </c>
      <c r="E140" s="110">
        <v>0.35</v>
      </c>
      <c r="F140" s="110"/>
      <c r="G140" s="49">
        <f>+IF($C140&lt;=G$52,$D140*8760*$E140,0)</f>
        <v>0</v>
      </c>
      <c r="H140" s="49">
        <f t="shared" si="74"/>
        <v>0</v>
      </c>
      <c r="I140" s="49">
        <f t="shared" si="74"/>
        <v>0</v>
      </c>
      <c r="J140" s="49">
        <f t="shared" si="74"/>
        <v>0</v>
      </c>
      <c r="K140" s="49">
        <f t="shared" si="74"/>
        <v>0</v>
      </c>
      <c r="L140" s="49">
        <f t="shared" si="74"/>
        <v>0</v>
      </c>
      <c r="M140" s="49">
        <f t="shared" si="74"/>
        <v>0</v>
      </c>
      <c r="N140" s="49">
        <f t="shared" si="74"/>
        <v>0</v>
      </c>
      <c r="O140" s="49">
        <f t="shared" si="74"/>
        <v>0</v>
      </c>
      <c r="P140" s="49">
        <f t="shared" si="74"/>
        <v>0</v>
      </c>
      <c r="Q140" s="49">
        <f t="shared" si="74"/>
        <v>44150.399999999994</v>
      </c>
      <c r="R140" s="49">
        <f t="shared" si="74"/>
        <v>44150.399999999994</v>
      </c>
      <c r="S140" s="49">
        <f t="shared" si="74"/>
        <v>44150.399999999994</v>
      </c>
      <c r="T140" s="49">
        <f t="shared" si="74"/>
        <v>44150.399999999994</v>
      </c>
      <c r="U140" s="49">
        <f t="shared" si="74"/>
        <v>44150.399999999994</v>
      </c>
      <c r="V140" s="49">
        <f t="shared" si="74"/>
        <v>44150.399999999994</v>
      </c>
      <c r="W140" s="49">
        <f t="shared" si="74"/>
        <v>44150.399999999994</v>
      </c>
      <c r="X140" s="49">
        <f t="shared" si="74"/>
        <v>44150.399999999994</v>
      </c>
      <c r="Y140" s="49">
        <f t="shared" si="74"/>
        <v>44150.399999999994</v>
      </c>
      <c r="Z140" s="49">
        <f t="shared" si="74"/>
        <v>44150.399999999994</v>
      </c>
      <c r="AA140" s="49">
        <f t="shared" si="74"/>
        <v>44150.399999999994</v>
      </c>
    </row>
    <row r="141" spans="2:27" x14ac:dyDescent="0.3">
      <c r="B141" s="47" t="s">
        <v>52</v>
      </c>
      <c r="C141" s="110">
        <v>2021</v>
      </c>
      <c r="D141" s="426">
        <v>21</v>
      </c>
      <c r="E141" s="110">
        <v>0.35</v>
      </c>
      <c r="F141" s="110"/>
      <c r="G141" s="49">
        <f>+IF($C141&lt;=G$52,$D141*8760*$E141,0)</f>
        <v>0</v>
      </c>
      <c r="H141" s="49">
        <f t="shared" si="74"/>
        <v>0</v>
      </c>
      <c r="I141" s="49">
        <f t="shared" si="74"/>
        <v>0</v>
      </c>
      <c r="J141" s="49">
        <f t="shared" si="74"/>
        <v>0</v>
      </c>
      <c r="K141" s="49">
        <f t="shared" si="74"/>
        <v>0</v>
      </c>
      <c r="L141" s="49">
        <f t="shared" si="74"/>
        <v>0</v>
      </c>
      <c r="M141" s="49">
        <f t="shared" si="74"/>
        <v>0</v>
      </c>
      <c r="N141" s="49">
        <f t="shared" si="74"/>
        <v>0</v>
      </c>
      <c r="O141" s="49">
        <f t="shared" si="74"/>
        <v>0</v>
      </c>
      <c r="P141" s="49">
        <f t="shared" si="74"/>
        <v>0</v>
      </c>
      <c r="Q141" s="49">
        <f t="shared" si="74"/>
        <v>0</v>
      </c>
      <c r="R141" s="49">
        <f t="shared" si="74"/>
        <v>64385.999999999993</v>
      </c>
      <c r="S141" s="49">
        <f t="shared" si="74"/>
        <v>64385.999999999993</v>
      </c>
      <c r="T141" s="49">
        <f t="shared" si="74"/>
        <v>64385.999999999993</v>
      </c>
      <c r="U141" s="49">
        <f t="shared" si="74"/>
        <v>64385.999999999993</v>
      </c>
      <c r="V141" s="49">
        <f t="shared" si="74"/>
        <v>64385.999999999993</v>
      </c>
      <c r="W141" s="49">
        <f t="shared" si="74"/>
        <v>64385.999999999993</v>
      </c>
      <c r="X141" s="49">
        <f t="shared" si="74"/>
        <v>64385.999999999993</v>
      </c>
      <c r="Y141" s="49">
        <f t="shared" si="74"/>
        <v>64385.999999999993</v>
      </c>
      <c r="Z141" s="49">
        <f t="shared" si="74"/>
        <v>64385.999999999993</v>
      </c>
      <c r="AA141" s="49">
        <f t="shared" si="74"/>
        <v>64385.999999999993</v>
      </c>
    </row>
    <row r="142" spans="2:27" x14ac:dyDescent="0.3">
      <c r="B142" s="57" t="s">
        <v>418</v>
      </c>
      <c r="C142" s="57"/>
      <c r="D142" s="57"/>
      <c r="E142" s="57"/>
      <c r="F142" s="57"/>
      <c r="G142" s="78"/>
      <c r="H142" s="78"/>
      <c r="I142" s="78"/>
      <c r="J142" s="78"/>
      <c r="K142" s="78"/>
      <c r="L142" s="78"/>
      <c r="M142" s="78"/>
      <c r="N142" s="78"/>
      <c r="O142" s="78"/>
      <c r="P142" s="78"/>
      <c r="Q142" s="78"/>
      <c r="R142" s="78"/>
      <c r="S142" s="78"/>
      <c r="T142" s="78"/>
      <c r="U142" s="78"/>
      <c r="V142" s="78"/>
      <c r="W142" s="78"/>
      <c r="X142" s="78"/>
      <c r="Y142" s="78"/>
      <c r="Z142" s="78"/>
      <c r="AA142" s="78"/>
    </row>
    <row r="143" spans="2:27" x14ac:dyDescent="0.3">
      <c r="B143" s="47" t="s">
        <v>418</v>
      </c>
      <c r="C143" s="110">
        <v>2030</v>
      </c>
      <c r="D143" s="426">
        <v>276</v>
      </c>
      <c r="E143" s="110">
        <v>0.35</v>
      </c>
      <c r="F143" s="110"/>
      <c r="G143" s="49">
        <f>+IF($C143&lt;=G$52,$D143*8760*$E143,0)</f>
        <v>0</v>
      </c>
      <c r="H143" s="49">
        <f t="shared" si="74"/>
        <v>0</v>
      </c>
      <c r="I143" s="49">
        <f t="shared" si="74"/>
        <v>0</v>
      </c>
      <c r="J143" s="49">
        <f t="shared" si="74"/>
        <v>0</v>
      </c>
      <c r="K143" s="49">
        <f t="shared" si="74"/>
        <v>0</v>
      </c>
      <c r="L143" s="49">
        <f t="shared" si="74"/>
        <v>0</v>
      </c>
      <c r="M143" s="49">
        <f t="shared" si="74"/>
        <v>0</v>
      </c>
      <c r="N143" s="49">
        <f t="shared" si="74"/>
        <v>0</v>
      </c>
      <c r="O143" s="49">
        <f t="shared" si="74"/>
        <v>0</v>
      </c>
      <c r="P143" s="49">
        <f t="shared" si="74"/>
        <v>0</v>
      </c>
      <c r="Q143" s="49">
        <f t="shared" si="74"/>
        <v>0</v>
      </c>
      <c r="R143" s="49">
        <f t="shared" si="74"/>
        <v>0</v>
      </c>
      <c r="S143" s="49">
        <f t="shared" si="74"/>
        <v>0</v>
      </c>
      <c r="T143" s="49">
        <f t="shared" si="74"/>
        <v>0</v>
      </c>
      <c r="U143" s="49">
        <f t="shared" si="74"/>
        <v>0</v>
      </c>
      <c r="V143" s="49">
        <f t="shared" si="74"/>
        <v>0</v>
      </c>
      <c r="W143" s="49">
        <f t="shared" si="74"/>
        <v>0</v>
      </c>
      <c r="X143" s="49">
        <f t="shared" si="74"/>
        <v>0</v>
      </c>
      <c r="Y143" s="49">
        <f t="shared" si="74"/>
        <v>0</v>
      </c>
      <c r="Z143" s="49">
        <f t="shared" si="74"/>
        <v>0</v>
      </c>
      <c r="AA143" s="49">
        <f t="shared" si="74"/>
        <v>846216</v>
      </c>
    </row>
    <row r="144" spans="2:27" x14ac:dyDescent="0.3">
      <c r="B144" s="57" t="s">
        <v>419</v>
      </c>
      <c r="C144" s="57"/>
      <c r="D144" s="57"/>
      <c r="E144" s="57"/>
      <c r="F144" s="57"/>
      <c r="G144" s="78"/>
      <c r="H144" s="78"/>
      <c r="I144" s="78"/>
      <c r="J144" s="78"/>
      <c r="K144" s="78"/>
      <c r="L144" s="78"/>
      <c r="M144" s="78"/>
      <c r="N144" s="78"/>
      <c r="O144" s="78"/>
      <c r="P144" s="78"/>
      <c r="Q144" s="78"/>
      <c r="R144" s="78"/>
      <c r="S144" s="78"/>
      <c r="T144" s="78"/>
      <c r="U144" s="78"/>
      <c r="V144" s="78"/>
      <c r="W144" s="78"/>
      <c r="X144" s="78"/>
      <c r="Y144" s="78"/>
      <c r="Z144" s="78"/>
      <c r="AA144" s="78"/>
    </row>
    <row r="145" spans="2:27" x14ac:dyDescent="0.3">
      <c r="B145" s="47" t="s">
        <v>419</v>
      </c>
      <c r="C145" s="110"/>
      <c r="D145" s="391"/>
      <c r="E145" s="110"/>
      <c r="F145" s="110"/>
      <c r="G145" s="49">
        <f>+IF($C145&lt;=G$52,$D145*8760*$E145,0)</f>
        <v>0</v>
      </c>
      <c r="H145" s="49">
        <f t="shared" si="74"/>
        <v>0</v>
      </c>
      <c r="I145" s="49">
        <f t="shared" si="74"/>
        <v>0</v>
      </c>
      <c r="J145" s="49">
        <f t="shared" si="74"/>
        <v>0</v>
      </c>
      <c r="K145" s="49">
        <f t="shared" si="74"/>
        <v>0</v>
      </c>
      <c r="L145" s="49">
        <f t="shared" si="74"/>
        <v>0</v>
      </c>
      <c r="M145" s="49">
        <f t="shared" si="74"/>
        <v>0</v>
      </c>
      <c r="N145" s="49">
        <f t="shared" si="74"/>
        <v>0</v>
      </c>
      <c r="O145" s="49">
        <f t="shared" si="74"/>
        <v>0</v>
      </c>
      <c r="P145" s="49">
        <f t="shared" si="74"/>
        <v>0</v>
      </c>
      <c r="Q145" s="49">
        <f t="shared" si="74"/>
        <v>0</v>
      </c>
      <c r="R145" s="49">
        <f t="shared" si="74"/>
        <v>0</v>
      </c>
      <c r="S145" s="49">
        <f t="shared" si="74"/>
        <v>0</v>
      </c>
      <c r="T145" s="49">
        <f t="shared" si="74"/>
        <v>0</v>
      </c>
      <c r="U145" s="49">
        <f t="shared" si="74"/>
        <v>0</v>
      </c>
      <c r="V145" s="49">
        <f t="shared" si="74"/>
        <v>0</v>
      </c>
      <c r="W145" s="49">
        <f t="shared" si="74"/>
        <v>0</v>
      </c>
      <c r="X145" s="49">
        <f t="shared" si="74"/>
        <v>0</v>
      </c>
      <c r="Y145" s="49">
        <f t="shared" si="74"/>
        <v>0</v>
      </c>
      <c r="Z145" s="49">
        <f t="shared" si="74"/>
        <v>0</v>
      </c>
      <c r="AA145" s="49">
        <f t="shared" si="74"/>
        <v>0</v>
      </c>
    </row>
    <row r="146" spans="2:27" x14ac:dyDescent="0.3">
      <c r="B146" s="57" t="s">
        <v>420</v>
      </c>
      <c r="C146" s="57"/>
      <c r="D146" s="57"/>
      <c r="E146" s="57"/>
      <c r="F146" s="57"/>
      <c r="G146" s="78"/>
      <c r="H146" s="78"/>
      <c r="I146" s="78"/>
      <c r="J146" s="78"/>
      <c r="K146" s="78"/>
      <c r="L146" s="78"/>
      <c r="M146" s="78"/>
      <c r="N146" s="78"/>
      <c r="O146" s="78"/>
      <c r="P146" s="78"/>
      <c r="Q146" s="78"/>
      <c r="R146" s="78"/>
      <c r="S146" s="78"/>
      <c r="T146" s="78"/>
      <c r="U146" s="78"/>
      <c r="V146" s="78"/>
      <c r="W146" s="78"/>
      <c r="X146" s="78"/>
      <c r="Y146" s="78"/>
      <c r="Z146" s="78"/>
      <c r="AA146" s="78"/>
    </row>
    <row r="147" spans="2:27" x14ac:dyDescent="0.3">
      <c r="B147" s="47" t="s">
        <v>420</v>
      </c>
      <c r="C147" s="110"/>
      <c r="D147" s="391"/>
      <c r="E147" s="110"/>
      <c r="F147" s="110"/>
      <c r="G147" s="49">
        <f>+IF($C147&lt;=G$52,$D147*8760*$E147,0)</f>
        <v>0</v>
      </c>
      <c r="H147" s="49">
        <f t="shared" si="74"/>
        <v>0</v>
      </c>
      <c r="I147" s="49">
        <f t="shared" si="74"/>
        <v>0</v>
      </c>
      <c r="J147" s="49">
        <f t="shared" si="74"/>
        <v>0</v>
      </c>
      <c r="K147" s="49">
        <f t="shared" si="74"/>
        <v>0</v>
      </c>
      <c r="L147" s="49">
        <f t="shared" si="74"/>
        <v>0</v>
      </c>
      <c r="M147" s="49">
        <f t="shared" si="74"/>
        <v>0</v>
      </c>
      <c r="N147" s="49">
        <f t="shared" si="74"/>
        <v>0</v>
      </c>
      <c r="O147" s="49">
        <f t="shared" si="74"/>
        <v>0</v>
      </c>
      <c r="P147" s="49">
        <f t="shared" si="74"/>
        <v>0</v>
      </c>
      <c r="Q147" s="49">
        <f t="shared" si="74"/>
        <v>0</v>
      </c>
      <c r="R147" s="49">
        <f t="shared" si="74"/>
        <v>0</v>
      </c>
      <c r="S147" s="49">
        <f t="shared" si="74"/>
        <v>0</v>
      </c>
      <c r="T147" s="49">
        <f t="shared" si="74"/>
        <v>0</v>
      </c>
      <c r="U147" s="49">
        <f t="shared" si="74"/>
        <v>0</v>
      </c>
      <c r="V147" s="49">
        <f t="shared" si="74"/>
        <v>0</v>
      </c>
      <c r="W147" s="49">
        <f t="shared" si="74"/>
        <v>0</v>
      </c>
      <c r="X147" s="49">
        <f t="shared" si="74"/>
        <v>0</v>
      </c>
      <c r="Y147" s="49">
        <f t="shared" si="74"/>
        <v>0</v>
      </c>
      <c r="Z147" s="49">
        <f t="shared" si="74"/>
        <v>0</v>
      </c>
      <c r="AA147" s="49">
        <f t="shared" si="74"/>
        <v>0</v>
      </c>
    </row>
    <row r="148" spans="2:27" x14ac:dyDescent="0.3">
      <c r="B148" s="13"/>
      <c r="C148" s="13"/>
      <c r="D148" s="13"/>
      <c r="E148" s="13"/>
      <c r="F148" s="13"/>
      <c r="G148" s="41"/>
      <c r="H148" s="41"/>
      <c r="I148" s="41"/>
      <c r="J148" s="41"/>
      <c r="K148" s="41"/>
      <c r="L148" s="41"/>
      <c r="M148" s="41"/>
      <c r="N148" s="41"/>
      <c r="O148" s="41"/>
      <c r="P148" s="41"/>
      <c r="Q148" s="41"/>
      <c r="R148" s="41"/>
      <c r="S148" s="41"/>
      <c r="T148" s="41"/>
      <c r="U148" s="41"/>
      <c r="V148" s="41"/>
      <c r="W148" s="41"/>
      <c r="X148" s="41"/>
      <c r="Y148" s="41"/>
      <c r="Z148" s="41"/>
      <c r="AA148" s="41"/>
    </row>
    <row r="149" spans="2:27" x14ac:dyDescent="0.3">
      <c r="B149" s="439"/>
      <c r="C149" s="440"/>
      <c r="D149" s="440"/>
      <c r="E149" s="440"/>
      <c r="F149" s="438"/>
      <c r="G149" s="381">
        <v>2010</v>
      </c>
      <c r="H149" s="381">
        <v>2011</v>
      </c>
      <c r="I149" s="381">
        <v>2012</v>
      </c>
      <c r="J149" s="381">
        <v>2013</v>
      </c>
      <c r="K149" s="381">
        <v>2014</v>
      </c>
      <c r="L149" s="381">
        <v>2015</v>
      </c>
      <c r="M149" s="381">
        <v>2016</v>
      </c>
      <c r="N149" s="381">
        <v>2017</v>
      </c>
      <c r="O149" s="381">
        <v>2018</v>
      </c>
      <c r="P149" s="381">
        <v>2019</v>
      </c>
      <c r="Q149" s="381">
        <v>2020</v>
      </c>
      <c r="R149" s="381">
        <v>2021</v>
      </c>
      <c r="S149" s="381">
        <v>2022</v>
      </c>
      <c r="T149" s="381">
        <v>2023</v>
      </c>
      <c r="U149" s="381">
        <v>2024</v>
      </c>
      <c r="V149" s="381">
        <v>2025</v>
      </c>
      <c r="W149" s="381">
        <v>2026</v>
      </c>
      <c r="X149" s="381">
        <v>2027</v>
      </c>
      <c r="Y149" s="381">
        <v>2028</v>
      </c>
      <c r="Z149" s="381">
        <v>2029</v>
      </c>
      <c r="AA149" s="381">
        <v>2030</v>
      </c>
    </row>
    <row r="150" spans="2:27" ht="28.8" x14ac:dyDescent="0.3">
      <c r="B150" s="84" t="s">
        <v>164</v>
      </c>
      <c r="C150" s="80" t="s">
        <v>279</v>
      </c>
      <c r="D150" s="389" t="s">
        <v>397</v>
      </c>
      <c r="E150" s="388" t="s">
        <v>247</v>
      </c>
      <c r="F150" s="388"/>
      <c r="G150" s="79" t="s">
        <v>197</v>
      </c>
      <c r="H150" s="79" t="s">
        <v>197</v>
      </c>
      <c r="I150" s="79" t="s">
        <v>197</v>
      </c>
      <c r="J150" s="79" t="s">
        <v>197</v>
      </c>
      <c r="K150" s="79" t="s">
        <v>197</v>
      </c>
      <c r="L150" s="79" t="s">
        <v>197</v>
      </c>
      <c r="M150" s="79" t="s">
        <v>197</v>
      </c>
      <c r="N150" s="79" t="s">
        <v>197</v>
      </c>
      <c r="O150" s="79" t="s">
        <v>197</v>
      </c>
      <c r="P150" s="79" t="s">
        <v>197</v>
      </c>
      <c r="Q150" s="79" t="s">
        <v>197</v>
      </c>
      <c r="R150" s="79" t="s">
        <v>197</v>
      </c>
      <c r="S150" s="79" t="s">
        <v>197</v>
      </c>
      <c r="T150" s="79" t="s">
        <v>197</v>
      </c>
      <c r="U150" s="79" t="s">
        <v>197</v>
      </c>
      <c r="V150" s="79" t="s">
        <v>197</v>
      </c>
      <c r="W150" s="79" t="s">
        <v>197</v>
      </c>
      <c r="X150" s="79" t="s">
        <v>197</v>
      </c>
      <c r="Y150" s="79" t="s">
        <v>197</v>
      </c>
      <c r="Z150" s="79" t="s">
        <v>197</v>
      </c>
      <c r="AA150" s="79" t="s">
        <v>197</v>
      </c>
    </row>
    <row r="151" spans="2:27" x14ac:dyDescent="0.3">
      <c r="B151" s="7" t="s">
        <v>10</v>
      </c>
      <c r="C151" s="11"/>
      <c r="D151" s="11"/>
      <c r="E151" s="11"/>
      <c r="F151" s="11"/>
      <c r="G151" s="85">
        <f>+SUM(G152:G165)</f>
        <v>0</v>
      </c>
      <c r="H151" s="85">
        <f t="shared" ref="H151:N151" si="75">+SUM(H152:H156)</f>
        <v>0</v>
      </c>
      <c r="I151" s="85">
        <f t="shared" si="75"/>
        <v>0</v>
      </c>
      <c r="J151" s="85">
        <f t="shared" si="75"/>
        <v>0</v>
      </c>
      <c r="K151" s="85">
        <f t="shared" si="75"/>
        <v>0</v>
      </c>
      <c r="L151" s="85">
        <f t="shared" si="75"/>
        <v>0</v>
      </c>
      <c r="M151" s="85">
        <f t="shared" si="75"/>
        <v>0</v>
      </c>
      <c r="N151" s="85">
        <f t="shared" si="75"/>
        <v>0</v>
      </c>
      <c r="O151" s="85">
        <f>+SUM(O152:O165)</f>
        <v>136656</v>
      </c>
      <c r="P151" s="85">
        <f t="shared" ref="P151:Z151" si="76">+SUM(P152:P165)</f>
        <v>346896</v>
      </c>
      <c r="Q151" s="85">
        <f t="shared" si="76"/>
        <v>357408</v>
      </c>
      <c r="R151" s="85">
        <f t="shared" si="76"/>
        <v>357408</v>
      </c>
      <c r="S151" s="85">
        <f t="shared" si="76"/>
        <v>357408</v>
      </c>
      <c r="T151" s="85">
        <f t="shared" si="76"/>
        <v>357408</v>
      </c>
      <c r="U151" s="85">
        <f t="shared" si="76"/>
        <v>357408</v>
      </c>
      <c r="V151" s="85">
        <f t="shared" si="76"/>
        <v>357408</v>
      </c>
      <c r="W151" s="85">
        <f>+SUM(W152:W165)</f>
        <v>357408</v>
      </c>
      <c r="X151" s="85">
        <f t="shared" si="76"/>
        <v>357408</v>
      </c>
      <c r="Y151" s="85">
        <f t="shared" si="76"/>
        <v>357408</v>
      </c>
      <c r="Z151" s="85">
        <f t="shared" si="76"/>
        <v>357408</v>
      </c>
      <c r="AA151" s="85">
        <f>+SUM(AA152:AA165)</f>
        <v>777888</v>
      </c>
    </row>
    <row r="152" spans="2:27" x14ac:dyDescent="0.3">
      <c r="B152" s="57" t="s">
        <v>411</v>
      </c>
      <c r="C152" s="57"/>
      <c r="D152" s="57"/>
      <c r="E152" s="57"/>
      <c r="F152" s="57"/>
      <c r="G152" s="78"/>
      <c r="H152" s="78"/>
      <c r="I152" s="78"/>
      <c r="J152" s="78"/>
      <c r="K152" s="78"/>
      <c r="L152" s="78"/>
      <c r="M152" s="78"/>
      <c r="N152" s="78"/>
      <c r="O152" s="78"/>
      <c r="P152" s="78"/>
      <c r="Q152" s="78"/>
      <c r="R152" s="78"/>
      <c r="S152" s="78"/>
      <c r="T152" s="78"/>
      <c r="U152" s="78"/>
      <c r="V152" s="78"/>
      <c r="W152" s="78"/>
      <c r="X152" s="78"/>
      <c r="Y152" s="78"/>
      <c r="Z152" s="78"/>
      <c r="AA152" s="78"/>
    </row>
    <row r="153" spans="2:27" x14ac:dyDescent="0.3">
      <c r="B153" s="47" t="s">
        <v>234</v>
      </c>
      <c r="C153" s="110">
        <v>2019</v>
      </c>
      <c r="D153" s="426">
        <v>50</v>
      </c>
      <c r="E153" s="110">
        <v>0.24</v>
      </c>
      <c r="F153" s="110"/>
      <c r="G153" s="49">
        <f>+IF($C153&lt;=G$52,$D153*8760*$E153,0)</f>
        <v>0</v>
      </c>
      <c r="H153" s="49">
        <f t="shared" ref="H153:Z153" si="77">+IF($C153&lt;=H$52,$D153*8760*$E153,0)</f>
        <v>0</v>
      </c>
      <c r="I153" s="49">
        <f t="shared" si="77"/>
        <v>0</v>
      </c>
      <c r="J153" s="49">
        <f t="shared" si="77"/>
        <v>0</v>
      </c>
      <c r="K153" s="49">
        <f t="shared" si="77"/>
        <v>0</v>
      </c>
      <c r="L153" s="49">
        <f t="shared" si="77"/>
        <v>0</v>
      </c>
      <c r="M153" s="49">
        <f t="shared" si="77"/>
        <v>0</v>
      </c>
      <c r="N153" s="49">
        <f t="shared" si="77"/>
        <v>0</v>
      </c>
      <c r="O153" s="49">
        <f t="shared" si="77"/>
        <v>0</v>
      </c>
      <c r="P153" s="49">
        <f t="shared" si="77"/>
        <v>105120</v>
      </c>
      <c r="Q153" s="49">
        <f t="shared" si="77"/>
        <v>105120</v>
      </c>
      <c r="R153" s="49">
        <f t="shared" si="77"/>
        <v>105120</v>
      </c>
      <c r="S153" s="49">
        <f t="shared" si="77"/>
        <v>105120</v>
      </c>
      <c r="T153" s="49">
        <f t="shared" si="77"/>
        <v>105120</v>
      </c>
      <c r="U153" s="49">
        <f t="shared" si="77"/>
        <v>105120</v>
      </c>
      <c r="V153" s="49">
        <f t="shared" si="77"/>
        <v>105120</v>
      </c>
      <c r="W153" s="49">
        <f t="shared" si="77"/>
        <v>105120</v>
      </c>
      <c r="X153" s="49">
        <f t="shared" si="77"/>
        <v>105120</v>
      </c>
      <c r="Y153" s="49">
        <f t="shared" si="77"/>
        <v>105120</v>
      </c>
      <c r="Z153" s="49">
        <f t="shared" si="77"/>
        <v>105120</v>
      </c>
      <c r="AA153" s="49">
        <f>+IF($C153&lt;=AA$52,$D153*8760*$E153,0)</f>
        <v>105120</v>
      </c>
    </row>
    <row r="154" spans="2:27" x14ac:dyDescent="0.3">
      <c r="B154" s="57" t="s">
        <v>411</v>
      </c>
      <c r="C154" s="57"/>
      <c r="D154" s="432"/>
      <c r="E154" s="57"/>
      <c r="F154" s="57"/>
      <c r="G154" s="78"/>
      <c r="H154" s="78"/>
      <c r="I154" s="78"/>
      <c r="J154" s="78"/>
      <c r="K154" s="78"/>
      <c r="L154" s="78"/>
      <c r="M154" s="78"/>
      <c r="N154" s="78"/>
      <c r="O154" s="78"/>
      <c r="P154" s="78"/>
      <c r="Q154" s="78"/>
      <c r="R154" s="78"/>
      <c r="S154" s="78"/>
      <c r="T154" s="78"/>
      <c r="U154" s="78"/>
      <c r="V154" s="78"/>
      <c r="W154" s="78"/>
      <c r="X154" s="78"/>
      <c r="Y154" s="78"/>
      <c r="Z154" s="78"/>
      <c r="AA154" s="78"/>
    </row>
    <row r="155" spans="2:27" x14ac:dyDescent="0.3">
      <c r="B155" s="47" t="s">
        <v>234</v>
      </c>
      <c r="C155" s="110">
        <v>2019</v>
      </c>
      <c r="D155" s="426">
        <v>50</v>
      </c>
      <c r="E155" s="110">
        <v>0.24</v>
      </c>
      <c r="F155" s="110"/>
      <c r="G155" s="49">
        <f>+IF($C155&lt;=G$52,$D155*8760*$E155,0)</f>
        <v>0</v>
      </c>
      <c r="H155" s="49">
        <f t="shared" ref="H155:Z155" si="78">+IF($C155&lt;=H$52,$D155*8760*$E155,0)</f>
        <v>0</v>
      </c>
      <c r="I155" s="49">
        <f t="shared" si="78"/>
        <v>0</v>
      </c>
      <c r="J155" s="49">
        <f t="shared" si="78"/>
        <v>0</v>
      </c>
      <c r="K155" s="49">
        <f t="shared" si="78"/>
        <v>0</v>
      </c>
      <c r="L155" s="49">
        <f t="shared" si="78"/>
        <v>0</v>
      </c>
      <c r="M155" s="49">
        <f t="shared" si="78"/>
        <v>0</v>
      </c>
      <c r="N155" s="49">
        <f t="shared" si="78"/>
        <v>0</v>
      </c>
      <c r="O155" s="49">
        <f t="shared" si="78"/>
        <v>0</v>
      </c>
      <c r="P155" s="49">
        <f t="shared" si="78"/>
        <v>105120</v>
      </c>
      <c r="Q155" s="49">
        <f t="shared" si="78"/>
        <v>105120</v>
      </c>
      <c r="R155" s="49">
        <f t="shared" si="78"/>
        <v>105120</v>
      </c>
      <c r="S155" s="49">
        <f t="shared" si="78"/>
        <v>105120</v>
      </c>
      <c r="T155" s="49">
        <f t="shared" si="78"/>
        <v>105120</v>
      </c>
      <c r="U155" s="49">
        <f t="shared" si="78"/>
        <v>105120</v>
      </c>
      <c r="V155" s="49">
        <f t="shared" si="78"/>
        <v>105120</v>
      </c>
      <c r="W155" s="49">
        <f t="shared" si="78"/>
        <v>105120</v>
      </c>
      <c r="X155" s="49">
        <f t="shared" si="78"/>
        <v>105120</v>
      </c>
      <c r="Y155" s="49">
        <f t="shared" si="78"/>
        <v>105120</v>
      </c>
      <c r="Z155" s="49">
        <f t="shared" si="78"/>
        <v>105120</v>
      </c>
      <c r="AA155" s="49">
        <f>+IF($C155&lt;=AA$52,$D155*8760*$E155,0)</f>
        <v>105120</v>
      </c>
    </row>
    <row r="156" spans="2:27" x14ac:dyDescent="0.3">
      <c r="B156" s="57" t="s">
        <v>44</v>
      </c>
      <c r="C156" s="57"/>
      <c r="D156" s="57"/>
      <c r="E156" s="57"/>
      <c r="F156" s="57"/>
      <c r="G156" s="78"/>
      <c r="H156" s="78"/>
      <c r="I156" s="78"/>
      <c r="J156" s="78"/>
      <c r="K156" s="78"/>
      <c r="L156" s="78"/>
      <c r="M156" s="78"/>
      <c r="N156" s="78"/>
      <c r="O156" s="78"/>
      <c r="P156" s="78"/>
      <c r="Q156" s="78"/>
      <c r="R156" s="78"/>
      <c r="S156" s="78"/>
      <c r="T156" s="78"/>
      <c r="U156" s="78"/>
      <c r="V156" s="78"/>
      <c r="W156" s="78"/>
      <c r="X156" s="78"/>
      <c r="Y156" s="78"/>
      <c r="Z156" s="78"/>
      <c r="AA156" s="78"/>
    </row>
    <row r="157" spans="2:27" x14ac:dyDescent="0.3">
      <c r="B157" s="47" t="s">
        <v>44</v>
      </c>
      <c r="C157" s="390">
        <v>2018</v>
      </c>
      <c r="D157" s="426">
        <v>60</v>
      </c>
      <c r="E157" s="110">
        <v>0.24</v>
      </c>
      <c r="F157" s="110"/>
      <c r="G157" s="49">
        <f>+IF($C157&lt;=G$52,$D157*8760*$E157,0)</f>
        <v>0</v>
      </c>
      <c r="H157" s="49">
        <f t="shared" ref="H157:Z157" si="79">+IF($C157&lt;=H$52,$D157*8760*$E157,0)</f>
        <v>0</v>
      </c>
      <c r="I157" s="49">
        <f t="shared" si="79"/>
        <v>0</v>
      </c>
      <c r="J157" s="49">
        <f t="shared" si="79"/>
        <v>0</v>
      </c>
      <c r="K157" s="49">
        <f t="shared" si="79"/>
        <v>0</v>
      </c>
      <c r="L157" s="49">
        <f t="shared" si="79"/>
        <v>0</v>
      </c>
      <c r="M157" s="49">
        <f t="shared" si="79"/>
        <v>0</v>
      </c>
      <c r="N157" s="49">
        <f t="shared" si="79"/>
        <v>0</v>
      </c>
      <c r="O157" s="49">
        <f t="shared" si="79"/>
        <v>126144</v>
      </c>
      <c r="P157" s="49">
        <f t="shared" si="79"/>
        <v>126144</v>
      </c>
      <c r="Q157" s="49">
        <f t="shared" si="79"/>
        <v>126144</v>
      </c>
      <c r="R157" s="49">
        <f t="shared" si="79"/>
        <v>126144</v>
      </c>
      <c r="S157" s="49">
        <f t="shared" si="79"/>
        <v>126144</v>
      </c>
      <c r="T157" s="49">
        <f t="shared" si="79"/>
        <v>126144</v>
      </c>
      <c r="U157" s="49">
        <f t="shared" si="79"/>
        <v>126144</v>
      </c>
      <c r="V157" s="49">
        <f t="shared" si="79"/>
        <v>126144</v>
      </c>
      <c r="W157" s="49">
        <f t="shared" si="79"/>
        <v>126144</v>
      </c>
      <c r="X157" s="49">
        <f t="shared" si="79"/>
        <v>126144</v>
      </c>
      <c r="Y157" s="49">
        <f t="shared" si="79"/>
        <v>126144</v>
      </c>
      <c r="Z157" s="49">
        <f t="shared" si="79"/>
        <v>126144</v>
      </c>
      <c r="AA157" s="49">
        <f>+IF($C157&lt;=AA$52,$D157*8760*$E157,0)</f>
        <v>126144</v>
      </c>
    </row>
    <row r="158" spans="2:27" x14ac:dyDescent="0.3">
      <c r="B158" s="57" t="s">
        <v>11</v>
      </c>
      <c r="C158" s="57"/>
      <c r="D158" s="57"/>
      <c r="E158" s="57"/>
      <c r="F158" s="57"/>
      <c r="G158" s="78"/>
      <c r="H158" s="78"/>
      <c r="I158" s="78"/>
      <c r="J158" s="78"/>
      <c r="K158" s="78"/>
      <c r="L158" s="78"/>
      <c r="M158" s="78"/>
      <c r="N158" s="78"/>
      <c r="O158" s="78"/>
      <c r="P158" s="78"/>
      <c r="Q158" s="78"/>
      <c r="R158" s="78"/>
      <c r="S158" s="78"/>
      <c r="T158" s="78"/>
      <c r="U158" s="78"/>
      <c r="V158" s="78"/>
      <c r="W158" s="78"/>
      <c r="X158" s="78"/>
      <c r="Y158" s="78"/>
      <c r="Z158" s="78"/>
      <c r="AA158" s="78"/>
    </row>
    <row r="159" spans="2:27" x14ac:dyDescent="0.3">
      <c r="B159" s="47" t="s">
        <v>11</v>
      </c>
      <c r="C159" s="390">
        <v>2018</v>
      </c>
      <c r="D159" s="426">
        <v>5</v>
      </c>
      <c r="E159" s="110">
        <v>0.24</v>
      </c>
      <c r="F159" s="110"/>
      <c r="G159" s="49">
        <f>+IF($C159&lt;=G$52,$D159*8760*$E159,0)</f>
        <v>0</v>
      </c>
      <c r="H159" s="49">
        <f t="shared" ref="H159:Z159" si="80">+IF($C159&lt;=H$52,$D159*8760*$E159,0)</f>
        <v>0</v>
      </c>
      <c r="I159" s="49">
        <f t="shared" si="80"/>
        <v>0</v>
      </c>
      <c r="J159" s="49">
        <f t="shared" si="80"/>
        <v>0</v>
      </c>
      <c r="K159" s="49">
        <f t="shared" si="80"/>
        <v>0</v>
      </c>
      <c r="L159" s="49">
        <f t="shared" si="80"/>
        <v>0</v>
      </c>
      <c r="M159" s="49">
        <f t="shared" si="80"/>
        <v>0</v>
      </c>
      <c r="N159" s="49">
        <f t="shared" si="80"/>
        <v>0</v>
      </c>
      <c r="O159" s="49">
        <f t="shared" si="80"/>
        <v>10512</v>
      </c>
      <c r="P159" s="49">
        <f t="shared" si="80"/>
        <v>10512</v>
      </c>
      <c r="Q159" s="49">
        <f t="shared" si="80"/>
        <v>10512</v>
      </c>
      <c r="R159" s="49">
        <f t="shared" si="80"/>
        <v>10512</v>
      </c>
      <c r="S159" s="49">
        <f t="shared" si="80"/>
        <v>10512</v>
      </c>
      <c r="T159" s="49">
        <f t="shared" si="80"/>
        <v>10512</v>
      </c>
      <c r="U159" s="49">
        <f t="shared" si="80"/>
        <v>10512</v>
      </c>
      <c r="V159" s="49">
        <f t="shared" si="80"/>
        <v>10512</v>
      </c>
      <c r="W159" s="49">
        <f t="shared" si="80"/>
        <v>10512</v>
      </c>
      <c r="X159" s="49">
        <f t="shared" si="80"/>
        <v>10512</v>
      </c>
      <c r="Y159" s="49">
        <f t="shared" si="80"/>
        <v>10512</v>
      </c>
      <c r="Z159" s="49">
        <f t="shared" si="80"/>
        <v>10512</v>
      </c>
      <c r="AA159" s="49">
        <f>+IF($C159&lt;=AA$52,$D159*8760*$E159,0)</f>
        <v>10512</v>
      </c>
    </row>
    <row r="160" spans="2:27" x14ac:dyDescent="0.3">
      <c r="B160" s="57" t="s">
        <v>473</v>
      </c>
      <c r="C160" s="57"/>
      <c r="D160" s="57"/>
      <c r="E160" s="57"/>
      <c r="F160" s="57"/>
      <c r="G160" s="78"/>
      <c r="H160" s="78"/>
      <c r="I160" s="78"/>
      <c r="J160" s="78"/>
      <c r="K160" s="78"/>
      <c r="L160" s="78"/>
      <c r="M160" s="78"/>
      <c r="N160" s="78"/>
      <c r="O160" s="78"/>
      <c r="P160" s="78"/>
      <c r="Q160" s="78"/>
      <c r="R160" s="78"/>
      <c r="S160" s="78"/>
      <c r="T160" s="78"/>
      <c r="U160" s="78"/>
      <c r="V160" s="78"/>
      <c r="W160" s="78"/>
      <c r="X160" s="78"/>
      <c r="Y160" s="78"/>
      <c r="Z160" s="78"/>
      <c r="AA160" s="78"/>
    </row>
    <row r="161" spans="2:27" x14ac:dyDescent="0.3">
      <c r="B161" s="47" t="str">
        <f>B160</f>
        <v>Riberalta - Guayamerin</v>
      </c>
      <c r="C161" s="390">
        <v>2020</v>
      </c>
      <c r="D161" s="426">
        <v>5</v>
      </c>
      <c r="E161" s="110">
        <v>0.24</v>
      </c>
      <c r="F161" s="110"/>
      <c r="G161" s="49">
        <f>+IF($C161&lt;=G$52,$D161*8760*$E161,0)</f>
        <v>0</v>
      </c>
      <c r="H161" s="49">
        <f t="shared" ref="H161:Z161" si="81">+IF($C161&lt;=H$52,$D161*8760*$E161,0)</f>
        <v>0</v>
      </c>
      <c r="I161" s="49">
        <f t="shared" si="81"/>
        <v>0</v>
      </c>
      <c r="J161" s="49">
        <f t="shared" si="81"/>
        <v>0</v>
      </c>
      <c r="K161" s="49">
        <f t="shared" si="81"/>
        <v>0</v>
      </c>
      <c r="L161" s="49">
        <f t="shared" si="81"/>
        <v>0</v>
      </c>
      <c r="M161" s="49">
        <f t="shared" si="81"/>
        <v>0</v>
      </c>
      <c r="N161" s="49">
        <f t="shared" si="81"/>
        <v>0</v>
      </c>
      <c r="O161" s="49">
        <f t="shared" si="81"/>
        <v>0</v>
      </c>
      <c r="P161" s="49">
        <f t="shared" si="81"/>
        <v>0</v>
      </c>
      <c r="Q161" s="49">
        <f t="shared" si="81"/>
        <v>10512</v>
      </c>
      <c r="R161" s="49">
        <f t="shared" si="81"/>
        <v>10512</v>
      </c>
      <c r="S161" s="49">
        <f t="shared" si="81"/>
        <v>10512</v>
      </c>
      <c r="T161" s="49">
        <f t="shared" si="81"/>
        <v>10512</v>
      </c>
      <c r="U161" s="49">
        <f t="shared" si="81"/>
        <v>10512</v>
      </c>
      <c r="V161" s="49">
        <f t="shared" si="81"/>
        <v>10512</v>
      </c>
      <c r="W161" s="49">
        <f t="shared" si="81"/>
        <v>10512</v>
      </c>
      <c r="X161" s="49">
        <f t="shared" si="81"/>
        <v>10512</v>
      </c>
      <c r="Y161" s="49">
        <f t="shared" si="81"/>
        <v>10512</v>
      </c>
      <c r="Z161" s="49">
        <f t="shared" si="81"/>
        <v>10512</v>
      </c>
      <c r="AA161" s="49">
        <f>+IF($C161&lt;=AA$52,$D161*8760*$E161,0)</f>
        <v>10512</v>
      </c>
    </row>
    <row r="162" spans="2:27" x14ac:dyDescent="0.3">
      <c r="B162" s="57" t="s">
        <v>421</v>
      </c>
      <c r="C162" s="57"/>
      <c r="D162" s="57"/>
      <c r="E162" s="57"/>
      <c r="F162" s="57"/>
      <c r="G162" s="78"/>
      <c r="H162" s="78"/>
      <c r="I162" s="78"/>
      <c r="J162" s="78"/>
      <c r="K162" s="78"/>
      <c r="L162" s="78"/>
      <c r="M162" s="78"/>
      <c r="N162" s="78"/>
      <c r="O162" s="78"/>
      <c r="P162" s="78"/>
      <c r="Q162" s="78"/>
      <c r="R162" s="78"/>
      <c r="S162" s="78"/>
      <c r="T162" s="78"/>
      <c r="U162" s="78"/>
      <c r="V162" s="78"/>
      <c r="W162" s="78"/>
      <c r="X162" s="78"/>
      <c r="Y162" s="78"/>
      <c r="Z162" s="78"/>
      <c r="AA162" s="78"/>
    </row>
    <row r="163" spans="2:27" x14ac:dyDescent="0.3">
      <c r="B163" s="47" t="str">
        <f>+B162</f>
        <v>Solar A</v>
      </c>
      <c r="C163" s="110">
        <v>2030</v>
      </c>
      <c r="D163" s="426">
        <v>200</v>
      </c>
      <c r="E163" s="110">
        <v>0.24</v>
      </c>
      <c r="F163" s="110"/>
      <c r="G163" s="49">
        <f>+IF($C163&lt;=G$52,$D163*8760*$E163,0)</f>
        <v>0</v>
      </c>
      <c r="H163" s="49">
        <f t="shared" ref="H163:Z165" si="82">+IF($C163&lt;=H$52,$D163*8760*$E163,0)</f>
        <v>0</v>
      </c>
      <c r="I163" s="49">
        <f t="shared" si="82"/>
        <v>0</v>
      </c>
      <c r="J163" s="49">
        <f t="shared" si="82"/>
        <v>0</v>
      </c>
      <c r="K163" s="49">
        <f t="shared" si="82"/>
        <v>0</v>
      </c>
      <c r="L163" s="49">
        <f t="shared" si="82"/>
        <v>0</v>
      </c>
      <c r="M163" s="49">
        <f t="shared" si="82"/>
        <v>0</v>
      </c>
      <c r="N163" s="49">
        <f t="shared" si="82"/>
        <v>0</v>
      </c>
      <c r="O163" s="49">
        <f t="shared" si="82"/>
        <v>0</v>
      </c>
      <c r="P163" s="49">
        <f t="shared" si="82"/>
        <v>0</v>
      </c>
      <c r="Q163" s="49">
        <f t="shared" si="82"/>
        <v>0</v>
      </c>
      <c r="R163" s="49">
        <f t="shared" si="82"/>
        <v>0</v>
      </c>
      <c r="S163" s="49">
        <f t="shared" si="82"/>
        <v>0</v>
      </c>
      <c r="T163" s="49">
        <f t="shared" si="82"/>
        <v>0</v>
      </c>
      <c r="U163" s="49">
        <f t="shared" si="82"/>
        <v>0</v>
      </c>
      <c r="V163" s="49">
        <f t="shared" si="82"/>
        <v>0</v>
      </c>
      <c r="W163" s="49">
        <f t="shared" si="82"/>
        <v>0</v>
      </c>
      <c r="X163" s="49">
        <f t="shared" si="82"/>
        <v>0</v>
      </c>
      <c r="Y163" s="49">
        <f t="shared" si="82"/>
        <v>0</v>
      </c>
      <c r="Z163" s="49">
        <f t="shared" si="82"/>
        <v>0</v>
      </c>
      <c r="AA163" s="49">
        <f>+IF($C163&lt;=AA$52,$D163*8760*$E163,0)</f>
        <v>420480</v>
      </c>
    </row>
    <row r="164" spans="2:27" x14ac:dyDescent="0.3">
      <c r="B164" s="57" t="s">
        <v>422</v>
      </c>
      <c r="C164" s="57"/>
      <c r="D164" s="57"/>
      <c r="E164" s="57"/>
      <c r="F164" s="57"/>
      <c r="G164" s="78"/>
      <c r="H164" s="78"/>
      <c r="I164" s="78"/>
      <c r="J164" s="78"/>
      <c r="K164" s="78"/>
      <c r="L164" s="78"/>
      <c r="M164" s="78"/>
      <c r="N164" s="78"/>
      <c r="O164" s="78"/>
      <c r="P164" s="78"/>
      <c r="Q164" s="78"/>
      <c r="R164" s="78"/>
      <c r="S164" s="78"/>
      <c r="T164" s="78"/>
      <c r="U164" s="78"/>
      <c r="V164" s="78"/>
      <c r="W164" s="78"/>
      <c r="X164" s="78"/>
      <c r="Y164" s="78"/>
      <c r="Z164" s="78"/>
      <c r="AA164" s="78"/>
    </row>
    <row r="165" spans="2:27" x14ac:dyDescent="0.3">
      <c r="B165" s="47" t="str">
        <f>B164</f>
        <v>Solar B</v>
      </c>
      <c r="C165" s="110"/>
      <c r="D165" s="391"/>
      <c r="E165" s="110"/>
      <c r="F165" s="110"/>
      <c r="G165" s="49">
        <f>+IF($C165&lt;=G$52,$D165*8760*$E165,0)</f>
        <v>0</v>
      </c>
      <c r="H165" s="49">
        <f t="shared" si="82"/>
        <v>0</v>
      </c>
      <c r="I165" s="49">
        <f t="shared" si="82"/>
        <v>0</v>
      </c>
      <c r="J165" s="49">
        <f t="shared" si="82"/>
        <v>0</v>
      </c>
      <c r="K165" s="49">
        <f t="shared" si="82"/>
        <v>0</v>
      </c>
      <c r="L165" s="49">
        <f t="shared" si="82"/>
        <v>0</v>
      </c>
      <c r="M165" s="49">
        <f t="shared" si="82"/>
        <v>0</v>
      </c>
      <c r="N165" s="49">
        <f t="shared" si="82"/>
        <v>0</v>
      </c>
      <c r="O165" s="49">
        <f t="shared" si="82"/>
        <v>0</v>
      </c>
      <c r="P165" s="49">
        <f t="shared" si="82"/>
        <v>0</v>
      </c>
      <c r="Q165" s="49">
        <f t="shared" si="82"/>
        <v>0</v>
      </c>
      <c r="R165" s="49">
        <f t="shared" si="82"/>
        <v>0</v>
      </c>
      <c r="S165" s="49">
        <f t="shared" si="82"/>
        <v>0</v>
      </c>
      <c r="T165" s="49">
        <f t="shared" si="82"/>
        <v>0</v>
      </c>
      <c r="U165" s="49">
        <f t="shared" si="82"/>
        <v>0</v>
      </c>
      <c r="V165" s="49">
        <f t="shared" si="82"/>
        <v>0</v>
      </c>
      <c r="W165" s="49">
        <f t="shared" si="82"/>
        <v>0</v>
      </c>
      <c r="X165" s="49">
        <f t="shared" si="82"/>
        <v>0</v>
      </c>
      <c r="Y165" s="49">
        <f t="shared" si="82"/>
        <v>0</v>
      </c>
      <c r="Z165" s="49">
        <f t="shared" si="82"/>
        <v>0</v>
      </c>
      <c r="AA165" s="49">
        <f>+IF($C165&lt;=AA$52,$D165*8760*$E165,0)</f>
        <v>0</v>
      </c>
    </row>
    <row r="166" spans="2:27" x14ac:dyDescent="0.3">
      <c r="B166" s="13"/>
      <c r="C166" s="13"/>
      <c r="D166" s="13"/>
      <c r="E166" s="13"/>
      <c r="F166" s="13"/>
      <c r="G166" s="41"/>
      <c r="H166" s="41"/>
      <c r="I166" s="41"/>
      <c r="J166" s="41"/>
      <c r="K166" s="41"/>
      <c r="L166" s="41"/>
      <c r="M166" s="41"/>
      <c r="N166" s="41"/>
      <c r="O166" s="41"/>
      <c r="P166" s="41"/>
      <c r="Q166" s="41"/>
      <c r="R166" s="41"/>
      <c r="S166" s="41"/>
      <c r="T166" s="41"/>
      <c r="U166" s="41"/>
      <c r="V166" s="41"/>
      <c r="W166" s="41"/>
      <c r="X166" s="41"/>
      <c r="Y166" s="41"/>
      <c r="Z166" s="41"/>
      <c r="AA166" s="41"/>
    </row>
    <row r="167" spans="2:27" x14ac:dyDescent="0.3">
      <c r="B167" s="439"/>
      <c r="C167" s="440"/>
      <c r="D167" s="440"/>
      <c r="E167" s="440"/>
      <c r="F167" s="438"/>
      <c r="G167" s="381">
        <v>2010</v>
      </c>
      <c r="H167" s="381">
        <v>2011</v>
      </c>
      <c r="I167" s="381">
        <v>2012</v>
      </c>
      <c r="J167" s="381">
        <v>2013</v>
      </c>
      <c r="K167" s="381">
        <v>2014</v>
      </c>
      <c r="L167" s="381">
        <v>2015</v>
      </c>
      <c r="M167" s="381">
        <v>2016</v>
      </c>
      <c r="N167" s="381">
        <v>2017</v>
      </c>
      <c r="O167" s="381">
        <v>2018</v>
      </c>
      <c r="P167" s="381">
        <v>2019</v>
      </c>
      <c r="Q167" s="381">
        <v>2020</v>
      </c>
      <c r="R167" s="381">
        <v>2021</v>
      </c>
      <c r="S167" s="381">
        <v>2022</v>
      </c>
      <c r="T167" s="381">
        <v>2023</v>
      </c>
      <c r="U167" s="381">
        <v>2024</v>
      </c>
      <c r="V167" s="381">
        <v>2025</v>
      </c>
      <c r="W167" s="381">
        <v>2026</v>
      </c>
      <c r="X167" s="381">
        <v>2027</v>
      </c>
      <c r="Y167" s="381">
        <v>2028</v>
      </c>
      <c r="Z167" s="381">
        <v>2029</v>
      </c>
      <c r="AA167" s="381">
        <v>2030</v>
      </c>
    </row>
    <row r="168" spans="2:27" ht="28.8" x14ac:dyDescent="0.3">
      <c r="B168" s="84" t="s">
        <v>164</v>
      </c>
      <c r="C168" s="80" t="s">
        <v>279</v>
      </c>
      <c r="D168" s="389" t="s">
        <v>397</v>
      </c>
      <c r="E168" s="388" t="s">
        <v>247</v>
      </c>
      <c r="F168" s="388"/>
      <c r="G168" s="79" t="s">
        <v>197</v>
      </c>
      <c r="H168" s="79" t="s">
        <v>197</v>
      </c>
      <c r="I168" s="79" t="s">
        <v>197</v>
      </c>
      <c r="J168" s="79" t="s">
        <v>197</v>
      </c>
      <c r="K168" s="79" t="s">
        <v>197</v>
      </c>
      <c r="L168" s="79" t="s">
        <v>197</v>
      </c>
      <c r="M168" s="79" t="s">
        <v>197</v>
      </c>
      <c r="N168" s="79" t="s">
        <v>197</v>
      </c>
      <c r="O168" s="79" t="s">
        <v>197</v>
      </c>
      <c r="P168" s="79" t="s">
        <v>197</v>
      </c>
      <c r="Q168" s="79" t="s">
        <v>197</v>
      </c>
      <c r="R168" s="79" t="s">
        <v>197</v>
      </c>
      <c r="S168" s="79" t="s">
        <v>197</v>
      </c>
      <c r="T168" s="79" t="s">
        <v>197</v>
      </c>
      <c r="U168" s="79" t="s">
        <v>197</v>
      </c>
      <c r="V168" s="79" t="s">
        <v>197</v>
      </c>
      <c r="W168" s="79" t="s">
        <v>197</v>
      </c>
      <c r="X168" s="79" t="s">
        <v>197</v>
      </c>
      <c r="Y168" s="79" t="s">
        <v>197</v>
      </c>
      <c r="Z168" s="79" t="s">
        <v>197</v>
      </c>
      <c r="AA168" s="79" t="s">
        <v>197</v>
      </c>
    </row>
    <row r="169" spans="2:27" x14ac:dyDescent="0.3">
      <c r="B169" s="7" t="s">
        <v>50</v>
      </c>
      <c r="C169" s="11"/>
      <c r="D169" s="11"/>
      <c r="E169" s="11"/>
      <c r="F169" s="11"/>
      <c r="G169" s="85">
        <f>+SUM(G170:G173)</f>
        <v>0</v>
      </c>
      <c r="H169" s="85">
        <f t="shared" ref="H169:AA169" si="83">+SUM(H170:H173)</f>
        <v>0</v>
      </c>
      <c r="I169" s="85">
        <f t="shared" si="83"/>
        <v>0</v>
      </c>
      <c r="J169" s="85">
        <f t="shared" si="83"/>
        <v>0</v>
      </c>
      <c r="K169" s="85">
        <f t="shared" si="83"/>
        <v>0</v>
      </c>
      <c r="L169" s="85">
        <f t="shared" si="83"/>
        <v>0</v>
      </c>
      <c r="M169" s="85">
        <f t="shared" si="83"/>
        <v>0</v>
      </c>
      <c r="N169" s="85">
        <f t="shared" si="83"/>
        <v>0</v>
      </c>
      <c r="O169" s="85">
        <f t="shared" si="83"/>
        <v>0</v>
      </c>
      <c r="P169" s="85">
        <f t="shared" si="83"/>
        <v>0</v>
      </c>
      <c r="Q169" s="85">
        <f t="shared" si="83"/>
        <v>37230</v>
      </c>
      <c r="R169" s="85">
        <f t="shared" si="83"/>
        <v>37230</v>
      </c>
      <c r="S169" s="85">
        <f t="shared" si="83"/>
        <v>37230</v>
      </c>
      <c r="T169" s="85">
        <f t="shared" si="83"/>
        <v>781830</v>
      </c>
      <c r="U169" s="85">
        <f t="shared" si="83"/>
        <v>781830</v>
      </c>
      <c r="V169" s="85">
        <f t="shared" si="83"/>
        <v>781830</v>
      </c>
      <c r="W169" s="85">
        <f t="shared" si="83"/>
        <v>781830</v>
      </c>
      <c r="X169" s="85">
        <f t="shared" si="83"/>
        <v>781830</v>
      </c>
      <c r="Y169" s="85">
        <f t="shared" si="83"/>
        <v>781830</v>
      </c>
      <c r="Z169" s="85">
        <f t="shared" si="83"/>
        <v>781830</v>
      </c>
      <c r="AA169" s="85">
        <f t="shared" si="83"/>
        <v>781830</v>
      </c>
    </row>
    <row r="170" spans="2:27" x14ac:dyDescent="0.3">
      <c r="B170" s="57" t="s">
        <v>51</v>
      </c>
      <c r="C170" s="57"/>
      <c r="D170" s="57"/>
      <c r="E170" s="57"/>
      <c r="F170" s="57"/>
      <c r="G170" s="78"/>
      <c r="H170" s="78"/>
      <c r="I170" s="78"/>
      <c r="J170" s="78"/>
      <c r="K170" s="78"/>
      <c r="L170" s="78"/>
      <c r="M170" s="78"/>
      <c r="N170" s="78"/>
      <c r="O170" s="78"/>
      <c r="P170" s="78"/>
      <c r="Q170" s="78"/>
      <c r="R170" s="78"/>
      <c r="S170" s="78"/>
      <c r="T170" s="78"/>
      <c r="U170" s="78"/>
      <c r="V170" s="78"/>
      <c r="W170" s="78"/>
      <c r="X170" s="78"/>
      <c r="Y170" s="78"/>
      <c r="Z170" s="78"/>
      <c r="AA170" s="78"/>
    </row>
    <row r="171" spans="2:27" x14ac:dyDescent="0.3">
      <c r="B171" s="47" t="s">
        <v>51</v>
      </c>
      <c r="C171" s="390">
        <v>2020</v>
      </c>
      <c r="D171" s="426">
        <v>5</v>
      </c>
      <c r="E171" s="110">
        <v>0.85</v>
      </c>
      <c r="F171" s="110"/>
      <c r="G171" s="49">
        <f>+IF($C171&lt;=G$52,$D171*8760*$E171,0)</f>
        <v>0</v>
      </c>
      <c r="H171" s="49">
        <f t="shared" ref="H171:AA173" si="84">+IF($C171&lt;=H$52,$D171*8760*$E171,0)</f>
        <v>0</v>
      </c>
      <c r="I171" s="49">
        <f t="shared" si="84"/>
        <v>0</v>
      </c>
      <c r="J171" s="49">
        <f t="shared" si="84"/>
        <v>0</v>
      </c>
      <c r="K171" s="49">
        <f t="shared" si="84"/>
        <v>0</v>
      </c>
      <c r="L171" s="49">
        <f t="shared" si="84"/>
        <v>0</v>
      </c>
      <c r="M171" s="49">
        <f t="shared" si="84"/>
        <v>0</v>
      </c>
      <c r="N171" s="49">
        <f t="shared" si="84"/>
        <v>0</v>
      </c>
      <c r="O171" s="49">
        <f t="shared" si="84"/>
        <v>0</v>
      </c>
      <c r="P171" s="49">
        <f t="shared" si="84"/>
        <v>0</v>
      </c>
      <c r="Q171" s="49">
        <f t="shared" si="84"/>
        <v>37230</v>
      </c>
      <c r="R171" s="49">
        <f t="shared" si="84"/>
        <v>37230</v>
      </c>
      <c r="S171" s="49">
        <f t="shared" si="84"/>
        <v>37230</v>
      </c>
      <c r="T171" s="49">
        <f t="shared" si="84"/>
        <v>37230</v>
      </c>
      <c r="U171" s="49">
        <f t="shared" si="84"/>
        <v>37230</v>
      </c>
      <c r="V171" s="49">
        <f t="shared" si="84"/>
        <v>37230</v>
      </c>
      <c r="W171" s="49">
        <f t="shared" si="84"/>
        <v>37230</v>
      </c>
      <c r="X171" s="49">
        <f t="shared" si="84"/>
        <v>37230</v>
      </c>
      <c r="Y171" s="49">
        <f t="shared" si="84"/>
        <v>37230</v>
      </c>
      <c r="Z171" s="49">
        <f t="shared" si="84"/>
        <v>37230</v>
      </c>
      <c r="AA171" s="49">
        <f t="shared" si="84"/>
        <v>37230</v>
      </c>
    </row>
    <row r="172" spans="2:27" x14ac:dyDescent="0.3">
      <c r="B172" s="57" t="s">
        <v>232</v>
      </c>
      <c r="C172" s="57"/>
      <c r="D172" s="57"/>
      <c r="E172" s="57"/>
      <c r="F172" s="57"/>
      <c r="G172" s="78"/>
      <c r="H172" s="78"/>
      <c r="I172" s="78"/>
      <c r="J172" s="78"/>
      <c r="K172" s="78"/>
      <c r="L172" s="78"/>
      <c r="M172" s="78"/>
      <c r="N172" s="78"/>
      <c r="O172" s="78"/>
      <c r="P172" s="78"/>
      <c r="Q172" s="78"/>
      <c r="R172" s="78"/>
      <c r="S172" s="78"/>
      <c r="T172" s="78"/>
      <c r="U172" s="78"/>
      <c r="V172" s="78"/>
      <c r="W172" s="78"/>
      <c r="X172" s="78"/>
      <c r="Y172" s="78"/>
      <c r="Z172" s="78"/>
      <c r="AA172" s="78"/>
    </row>
    <row r="173" spans="2:27" x14ac:dyDescent="0.3">
      <c r="B173" s="47" t="str">
        <f>+B172</f>
        <v xml:space="preserve">Laguna Colorada </v>
      </c>
      <c r="C173" s="390">
        <v>2023</v>
      </c>
      <c r="D173" s="426">
        <v>100</v>
      </c>
      <c r="E173" s="110">
        <v>0.85</v>
      </c>
      <c r="F173" s="110"/>
      <c r="G173" s="49">
        <f>+IF($C173&lt;=G$52,$D173*8760*$E173,0)</f>
        <v>0</v>
      </c>
      <c r="H173" s="49">
        <f t="shared" si="84"/>
        <v>0</v>
      </c>
      <c r="I173" s="49">
        <f t="shared" si="84"/>
        <v>0</v>
      </c>
      <c r="J173" s="49">
        <f t="shared" si="84"/>
        <v>0</v>
      </c>
      <c r="K173" s="49">
        <f t="shared" si="84"/>
        <v>0</v>
      </c>
      <c r="L173" s="49">
        <f t="shared" si="84"/>
        <v>0</v>
      </c>
      <c r="M173" s="49">
        <f t="shared" si="84"/>
        <v>0</v>
      </c>
      <c r="N173" s="49">
        <f t="shared" si="84"/>
        <v>0</v>
      </c>
      <c r="O173" s="49">
        <f t="shared" si="84"/>
        <v>0</v>
      </c>
      <c r="P173" s="49">
        <f t="shared" si="84"/>
        <v>0</v>
      </c>
      <c r="Q173" s="49">
        <f t="shared" si="84"/>
        <v>0</v>
      </c>
      <c r="R173" s="49">
        <f t="shared" si="84"/>
        <v>0</v>
      </c>
      <c r="S173" s="49">
        <f t="shared" si="84"/>
        <v>0</v>
      </c>
      <c r="T173" s="49">
        <f t="shared" si="84"/>
        <v>744600</v>
      </c>
      <c r="U173" s="49">
        <f t="shared" si="84"/>
        <v>744600</v>
      </c>
      <c r="V173" s="49">
        <f t="shared" si="84"/>
        <v>744600</v>
      </c>
      <c r="W173" s="49">
        <f t="shared" si="84"/>
        <v>744600</v>
      </c>
      <c r="X173" s="49">
        <f t="shared" si="84"/>
        <v>744600</v>
      </c>
      <c r="Y173" s="49">
        <f t="shared" si="84"/>
        <v>744600</v>
      </c>
      <c r="Z173" s="49">
        <f t="shared" si="84"/>
        <v>744600</v>
      </c>
      <c r="AA173" s="49">
        <f t="shared" si="84"/>
        <v>744600</v>
      </c>
    </row>
    <row r="174" spans="2:27" x14ac:dyDescent="0.3">
      <c r="B174" s="113"/>
      <c r="C174" s="393"/>
      <c r="D174" s="394"/>
      <c r="E174" s="28"/>
      <c r="F174" s="28"/>
      <c r="G174" s="113"/>
      <c r="H174" s="113"/>
      <c r="I174" s="113"/>
      <c r="J174" s="30"/>
      <c r="K174" s="30"/>
      <c r="L174" s="30"/>
      <c r="M174" s="30"/>
      <c r="N174" s="30"/>
      <c r="O174" s="30"/>
      <c r="P174" s="30"/>
      <c r="Q174" s="30"/>
      <c r="R174" s="30"/>
      <c r="S174" s="30"/>
      <c r="T174" s="30"/>
      <c r="U174" s="30"/>
      <c r="V174" s="30"/>
      <c r="W174" s="30"/>
      <c r="X174" s="30"/>
      <c r="Y174" s="30"/>
      <c r="Z174" s="30"/>
      <c r="AA174" s="30"/>
    </row>
    <row r="175" spans="2:27" x14ac:dyDescent="0.3">
      <c r="B175" s="439"/>
      <c r="C175" s="440"/>
      <c r="D175" s="440"/>
      <c r="E175" s="440"/>
      <c r="F175" s="438"/>
      <c r="G175" s="381">
        <v>2010</v>
      </c>
      <c r="H175" s="381">
        <v>2011</v>
      </c>
      <c r="I175" s="381">
        <v>2012</v>
      </c>
      <c r="J175" s="381">
        <v>2013</v>
      </c>
      <c r="K175" s="381">
        <v>2014</v>
      </c>
      <c r="L175" s="381">
        <v>2015</v>
      </c>
      <c r="M175" s="381">
        <v>2016</v>
      </c>
      <c r="N175" s="381">
        <v>2017</v>
      </c>
      <c r="O175" s="381">
        <v>2018</v>
      </c>
      <c r="P175" s="381">
        <v>2019</v>
      </c>
      <c r="Q175" s="381">
        <v>2020</v>
      </c>
      <c r="R175" s="381">
        <v>2021</v>
      </c>
      <c r="S175" s="381">
        <v>2022</v>
      </c>
      <c r="T175" s="381">
        <v>2023</v>
      </c>
      <c r="U175" s="381">
        <v>2024</v>
      </c>
      <c r="V175" s="381">
        <v>2025</v>
      </c>
      <c r="W175" s="381">
        <v>2026</v>
      </c>
      <c r="X175" s="381">
        <v>2027</v>
      </c>
      <c r="Y175" s="381">
        <v>2028</v>
      </c>
      <c r="Z175" s="381">
        <v>2029</v>
      </c>
      <c r="AA175" s="381">
        <v>2030</v>
      </c>
    </row>
    <row r="176" spans="2:27" ht="28.8" x14ac:dyDescent="0.3">
      <c r="B176" s="84" t="s">
        <v>164</v>
      </c>
      <c r="C176" s="80" t="s">
        <v>279</v>
      </c>
      <c r="D176" s="389" t="s">
        <v>397</v>
      </c>
      <c r="E176" s="388" t="s">
        <v>247</v>
      </c>
      <c r="F176" s="388"/>
      <c r="G176" s="79" t="s">
        <v>197</v>
      </c>
      <c r="H176" s="79" t="s">
        <v>197</v>
      </c>
      <c r="I176" s="79" t="s">
        <v>197</v>
      </c>
      <c r="J176" s="79" t="s">
        <v>197</v>
      </c>
      <c r="K176" s="79" t="s">
        <v>197</v>
      </c>
      <c r="L176" s="79" t="s">
        <v>197</v>
      </c>
      <c r="M176" s="79" t="s">
        <v>197</v>
      </c>
      <c r="N176" s="79" t="s">
        <v>197</v>
      </c>
      <c r="O176" s="79" t="s">
        <v>197</v>
      </c>
      <c r="P176" s="79" t="s">
        <v>197</v>
      </c>
      <c r="Q176" s="79" t="s">
        <v>197</v>
      </c>
      <c r="R176" s="79" t="s">
        <v>197</v>
      </c>
      <c r="S176" s="79" t="s">
        <v>197</v>
      </c>
      <c r="T176" s="79" t="s">
        <v>197</v>
      </c>
      <c r="U176" s="79" t="s">
        <v>197</v>
      </c>
      <c r="V176" s="79" t="s">
        <v>197</v>
      </c>
      <c r="W176" s="79" t="s">
        <v>197</v>
      </c>
      <c r="X176" s="79" t="s">
        <v>197</v>
      </c>
      <c r="Y176" s="79" t="s">
        <v>197</v>
      </c>
      <c r="Z176" s="79" t="s">
        <v>197</v>
      </c>
      <c r="AA176" s="79" t="s">
        <v>197</v>
      </c>
    </row>
    <row r="177" spans="2:29" x14ac:dyDescent="0.3">
      <c r="B177" s="7" t="s">
        <v>12</v>
      </c>
      <c r="C177" s="11"/>
      <c r="D177" s="11"/>
      <c r="E177" s="11"/>
      <c r="F177" s="11"/>
      <c r="G177" s="85">
        <f>+SUM(G178:G183)</f>
        <v>0</v>
      </c>
      <c r="H177" s="85">
        <f t="shared" ref="H177:AA177" si="85">+SUM(H178:H183)</f>
        <v>0</v>
      </c>
      <c r="I177" s="85">
        <f t="shared" si="85"/>
        <v>0</v>
      </c>
      <c r="J177" s="85">
        <f t="shared" si="85"/>
        <v>0</v>
      </c>
      <c r="K177" s="85">
        <f t="shared" si="85"/>
        <v>0</v>
      </c>
      <c r="L177" s="85">
        <f t="shared" si="85"/>
        <v>0</v>
      </c>
      <c r="M177" s="85">
        <f t="shared" si="85"/>
        <v>0</v>
      </c>
      <c r="N177" s="85">
        <f t="shared" si="85"/>
        <v>0</v>
      </c>
      <c r="O177" s="85">
        <f t="shared" si="85"/>
        <v>0</v>
      </c>
      <c r="P177" s="85">
        <f t="shared" si="85"/>
        <v>0</v>
      </c>
      <c r="Q177" s="85">
        <f>+SUM(Q178:Q183)</f>
        <v>372300</v>
      </c>
      <c r="R177" s="85">
        <f t="shared" si="85"/>
        <v>372300</v>
      </c>
      <c r="S177" s="85">
        <f t="shared" si="85"/>
        <v>372300</v>
      </c>
      <c r="T177" s="85">
        <f t="shared" si="85"/>
        <v>372300</v>
      </c>
      <c r="U177" s="85">
        <f t="shared" si="85"/>
        <v>372300</v>
      </c>
      <c r="V177" s="85">
        <f t="shared" si="85"/>
        <v>372300</v>
      </c>
      <c r="W177" s="85">
        <f t="shared" si="85"/>
        <v>372300</v>
      </c>
      <c r="X177" s="85">
        <f t="shared" si="85"/>
        <v>372300</v>
      </c>
      <c r="Y177" s="85">
        <f t="shared" si="85"/>
        <v>372300</v>
      </c>
      <c r="Z177" s="85">
        <f t="shared" si="85"/>
        <v>372300</v>
      </c>
      <c r="AA177" s="85">
        <f t="shared" si="85"/>
        <v>372300</v>
      </c>
    </row>
    <row r="178" spans="2:29" x14ac:dyDescent="0.3">
      <c r="B178" s="57" t="s">
        <v>14</v>
      </c>
      <c r="C178" s="57"/>
      <c r="D178" s="57"/>
      <c r="E178" s="57"/>
      <c r="F178" s="57"/>
      <c r="G178" s="78"/>
      <c r="H178" s="78"/>
      <c r="I178" s="78"/>
      <c r="J178" s="78"/>
      <c r="K178" s="78"/>
      <c r="L178" s="78"/>
      <c r="M178" s="78"/>
      <c r="N178" s="78"/>
      <c r="O178" s="78"/>
      <c r="P178" s="78"/>
      <c r="Q178" s="78"/>
      <c r="R178" s="78"/>
      <c r="S178" s="78"/>
      <c r="T178" s="78"/>
      <c r="U178" s="78"/>
      <c r="V178" s="78"/>
      <c r="W178" s="78"/>
      <c r="X178" s="78"/>
      <c r="Y178" s="78"/>
      <c r="Z178" s="78"/>
      <c r="AA178" s="78"/>
    </row>
    <row r="179" spans="2:29" x14ac:dyDescent="0.3">
      <c r="B179" s="47" t="str">
        <f>+B178</f>
        <v>San Buenaventura</v>
      </c>
      <c r="C179" s="390">
        <v>2020</v>
      </c>
      <c r="D179" s="426">
        <v>10</v>
      </c>
      <c r="E179" s="110">
        <v>0.85</v>
      </c>
      <c r="F179" s="110"/>
      <c r="G179" s="49">
        <f>+IF($C179&lt;=G$52,$D179*8760*$E179,0)</f>
        <v>0</v>
      </c>
      <c r="H179" s="49">
        <f t="shared" ref="H179:AA183" si="86">+IF($C179&lt;=H$52,$D179*8760*$E179,0)</f>
        <v>0</v>
      </c>
      <c r="I179" s="49">
        <f t="shared" si="86"/>
        <v>0</v>
      </c>
      <c r="J179" s="49">
        <f t="shared" si="86"/>
        <v>0</v>
      </c>
      <c r="K179" s="49">
        <f t="shared" si="86"/>
        <v>0</v>
      </c>
      <c r="L179" s="49">
        <f t="shared" si="86"/>
        <v>0</v>
      </c>
      <c r="M179" s="49">
        <f t="shared" si="86"/>
        <v>0</v>
      </c>
      <c r="N179" s="49">
        <f t="shared" si="86"/>
        <v>0</v>
      </c>
      <c r="O179" s="49">
        <f t="shared" si="86"/>
        <v>0</v>
      </c>
      <c r="P179" s="49">
        <f t="shared" si="86"/>
        <v>0</v>
      </c>
      <c r="Q179" s="49">
        <f t="shared" si="86"/>
        <v>74460</v>
      </c>
      <c r="R179" s="49">
        <f t="shared" si="86"/>
        <v>74460</v>
      </c>
      <c r="S179" s="49">
        <f t="shared" si="86"/>
        <v>74460</v>
      </c>
      <c r="T179" s="49">
        <f t="shared" si="86"/>
        <v>74460</v>
      </c>
      <c r="U179" s="49">
        <f t="shared" si="86"/>
        <v>74460</v>
      </c>
      <c r="V179" s="49">
        <f t="shared" si="86"/>
        <v>74460</v>
      </c>
      <c r="W179" s="49">
        <f t="shared" si="86"/>
        <v>74460</v>
      </c>
      <c r="X179" s="49">
        <f t="shared" si="86"/>
        <v>74460</v>
      </c>
      <c r="Y179" s="49">
        <f t="shared" si="86"/>
        <v>74460</v>
      </c>
      <c r="Z179" s="49">
        <f t="shared" si="86"/>
        <v>74460</v>
      </c>
      <c r="AA179" s="49">
        <f t="shared" si="86"/>
        <v>74460</v>
      </c>
    </row>
    <row r="180" spans="2:29" x14ac:dyDescent="0.3">
      <c r="B180" s="57" t="s">
        <v>47</v>
      </c>
      <c r="C180" s="57"/>
      <c r="D180" s="57"/>
      <c r="E180" s="57"/>
      <c r="F180" s="57"/>
      <c r="G180" s="78"/>
      <c r="H180" s="78"/>
      <c r="I180" s="78"/>
      <c r="J180" s="78"/>
      <c r="K180" s="78"/>
      <c r="L180" s="78"/>
      <c r="M180" s="78"/>
      <c r="N180" s="78"/>
      <c r="O180" s="78"/>
      <c r="P180" s="78"/>
      <c r="Q180" s="78"/>
      <c r="R180" s="78"/>
      <c r="S180" s="78"/>
      <c r="T180" s="78"/>
      <c r="U180" s="78"/>
      <c r="V180" s="78"/>
      <c r="W180" s="78"/>
      <c r="X180" s="78"/>
      <c r="Y180" s="78"/>
      <c r="Z180" s="78"/>
      <c r="AA180" s="78"/>
    </row>
    <row r="181" spans="2:29" x14ac:dyDescent="0.3">
      <c r="B181" s="47" t="str">
        <f>+B180</f>
        <v>Cobija</v>
      </c>
      <c r="C181" s="390">
        <v>2020</v>
      </c>
      <c r="D181" s="426">
        <v>20</v>
      </c>
      <c r="E181" s="110">
        <v>0.85</v>
      </c>
      <c r="F181" s="110"/>
      <c r="G181" s="49">
        <f>+IF($C181&lt;=G$52,$D181*8760*$E181,0)</f>
        <v>0</v>
      </c>
      <c r="H181" s="49">
        <f t="shared" si="86"/>
        <v>0</v>
      </c>
      <c r="I181" s="49">
        <f t="shared" si="86"/>
        <v>0</v>
      </c>
      <c r="J181" s="49">
        <f t="shared" si="86"/>
        <v>0</v>
      </c>
      <c r="K181" s="49">
        <f t="shared" si="86"/>
        <v>0</v>
      </c>
      <c r="L181" s="49">
        <f t="shared" si="86"/>
        <v>0</v>
      </c>
      <c r="M181" s="49">
        <f t="shared" si="86"/>
        <v>0</v>
      </c>
      <c r="N181" s="49">
        <f t="shared" si="86"/>
        <v>0</v>
      </c>
      <c r="O181" s="49">
        <f t="shared" si="86"/>
        <v>0</v>
      </c>
      <c r="P181" s="49">
        <f t="shared" si="86"/>
        <v>0</v>
      </c>
      <c r="Q181" s="49">
        <f t="shared" si="86"/>
        <v>148920</v>
      </c>
      <c r="R181" s="49">
        <f t="shared" si="86"/>
        <v>148920</v>
      </c>
      <c r="S181" s="49">
        <f t="shared" si="86"/>
        <v>148920</v>
      </c>
      <c r="T181" s="49">
        <f t="shared" si="86"/>
        <v>148920</v>
      </c>
      <c r="U181" s="49">
        <f t="shared" si="86"/>
        <v>148920</v>
      </c>
      <c r="V181" s="49">
        <f t="shared" si="86"/>
        <v>148920</v>
      </c>
      <c r="W181" s="49">
        <f t="shared" si="86"/>
        <v>148920</v>
      </c>
      <c r="X181" s="49">
        <f t="shared" si="86"/>
        <v>148920</v>
      </c>
      <c r="Y181" s="49">
        <f t="shared" si="86"/>
        <v>148920</v>
      </c>
      <c r="Z181" s="49">
        <f t="shared" si="86"/>
        <v>148920</v>
      </c>
      <c r="AA181" s="49">
        <f t="shared" si="86"/>
        <v>148920</v>
      </c>
    </row>
    <row r="182" spans="2:29" x14ac:dyDescent="0.3">
      <c r="B182" s="57" t="s">
        <v>472</v>
      </c>
      <c r="C182" s="57"/>
      <c r="D182" s="57"/>
      <c r="E182" s="57"/>
      <c r="F182" s="57"/>
      <c r="G182" s="78"/>
      <c r="H182" s="78"/>
      <c r="I182" s="78"/>
      <c r="J182" s="78"/>
      <c r="K182" s="78"/>
      <c r="L182" s="78"/>
      <c r="M182" s="78"/>
      <c r="N182" s="78"/>
      <c r="O182" s="78"/>
      <c r="P182" s="78"/>
      <c r="Q182" s="78"/>
      <c r="R182" s="78"/>
      <c r="S182" s="78"/>
      <c r="T182" s="78"/>
      <c r="U182" s="78"/>
      <c r="V182" s="78"/>
      <c r="W182" s="78"/>
      <c r="X182" s="78"/>
      <c r="Y182" s="78"/>
      <c r="Z182" s="78"/>
      <c r="AA182" s="78"/>
    </row>
    <row r="183" spans="2:29" x14ac:dyDescent="0.3">
      <c r="B183" s="47" t="str">
        <f>+B182</f>
        <v>Riberalta</v>
      </c>
      <c r="C183" s="390">
        <v>2020</v>
      </c>
      <c r="D183" s="426">
        <v>20</v>
      </c>
      <c r="E183" s="110">
        <v>0.85</v>
      </c>
      <c r="F183" s="110"/>
      <c r="G183" s="49">
        <f>+IF($C183&lt;=G$52,$D183*8760*$E183,0)</f>
        <v>0</v>
      </c>
      <c r="H183" s="49">
        <f t="shared" si="86"/>
        <v>0</v>
      </c>
      <c r="I183" s="49">
        <f t="shared" si="86"/>
        <v>0</v>
      </c>
      <c r="J183" s="49">
        <f t="shared" si="86"/>
        <v>0</v>
      </c>
      <c r="K183" s="49">
        <f t="shared" si="86"/>
        <v>0</v>
      </c>
      <c r="L183" s="49">
        <f t="shared" si="86"/>
        <v>0</v>
      </c>
      <c r="M183" s="49">
        <f t="shared" si="86"/>
        <v>0</v>
      </c>
      <c r="N183" s="49">
        <f t="shared" si="86"/>
        <v>0</v>
      </c>
      <c r="O183" s="49">
        <f t="shared" si="86"/>
        <v>0</v>
      </c>
      <c r="P183" s="49">
        <f t="shared" si="86"/>
        <v>0</v>
      </c>
      <c r="Q183" s="49">
        <f t="shared" si="86"/>
        <v>148920</v>
      </c>
      <c r="R183" s="49">
        <f t="shared" si="86"/>
        <v>148920</v>
      </c>
      <c r="S183" s="49">
        <f t="shared" si="86"/>
        <v>148920</v>
      </c>
      <c r="T183" s="49">
        <f t="shared" si="86"/>
        <v>148920</v>
      </c>
      <c r="U183" s="49">
        <f t="shared" si="86"/>
        <v>148920</v>
      </c>
      <c r="V183" s="49">
        <f t="shared" si="86"/>
        <v>148920</v>
      </c>
      <c r="W183" s="49">
        <f t="shared" si="86"/>
        <v>148920</v>
      </c>
      <c r="X183" s="49">
        <f t="shared" si="86"/>
        <v>148920</v>
      </c>
      <c r="Y183" s="49">
        <f t="shared" si="86"/>
        <v>148920</v>
      </c>
      <c r="Z183" s="49">
        <f t="shared" si="86"/>
        <v>148920</v>
      </c>
      <c r="AA183" s="49">
        <f t="shared" si="86"/>
        <v>148920</v>
      </c>
    </row>
    <row r="184" spans="2:29" x14ac:dyDescent="0.3">
      <c r="B184" s="113"/>
      <c r="C184" s="393"/>
      <c r="D184" s="394"/>
      <c r="E184" s="28"/>
      <c r="F184" s="28"/>
      <c r="G184" s="113"/>
      <c r="H184" s="113"/>
      <c r="I184" s="113"/>
      <c r="J184" s="30"/>
      <c r="K184" s="30"/>
      <c r="L184" s="30"/>
      <c r="M184" s="30"/>
      <c r="N184" s="30"/>
      <c r="O184" s="30"/>
      <c r="P184" s="30"/>
      <c r="Q184" s="30"/>
      <c r="R184" s="30"/>
      <c r="S184" s="30"/>
      <c r="T184" s="30"/>
      <c r="U184" s="30"/>
      <c r="V184" s="30"/>
      <c r="W184" s="30"/>
      <c r="X184" s="30"/>
      <c r="Y184" s="30"/>
      <c r="Z184" s="30"/>
      <c r="AA184" s="30"/>
    </row>
    <row r="185" spans="2:29" x14ac:dyDescent="0.3">
      <c r="B185" s="13"/>
      <c r="C185" s="13"/>
      <c r="D185" s="13"/>
      <c r="E185" s="13"/>
      <c r="F185" s="13"/>
      <c r="G185" s="41"/>
      <c r="H185" s="41"/>
      <c r="I185" s="41"/>
      <c r="J185" s="41"/>
      <c r="K185" s="41"/>
      <c r="L185" s="41"/>
      <c r="M185" s="41"/>
      <c r="N185" s="41"/>
      <c r="O185" s="41"/>
      <c r="P185" s="41"/>
      <c r="Q185" s="41"/>
      <c r="R185" s="41"/>
      <c r="S185" s="41"/>
      <c r="T185" s="41"/>
      <c r="U185" s="41"/>
      <c r="V185" s="41"/>
      <c r="W185" s="41"/>
      <c r="X185" s="41"/>
      <c r="Y185" s="41"/>
      <c r="Z185" s="41"/>
      <c r="AA185" s="41"/>
    </row>
    <row r="186" spans="2:29" x14ac:dyDescent="0.3">
      <c r="B186" s="385" t="s">
        <v>410</v>
      </c>
      <c r="C186" s="386"/>
      <c r="D186" s="386"/>
      <c r="E186" s="386"/>
      <c r="F186" s="386"/>
      <c r="G186" s="386"/>
      <c r="H186" s="386"/>
      <c r="I186" s="386"/>
      <c r="J186" s="386"/>
      <c r="K186" s="386"/>
      <c r="L186" s="386"/>
      <c r="M186" s="386"/>
      <c r="N186" s="386"/>
      <c r="O186" s="386"/>
      <c r="P186" s="386"/>
      <c r="Q186" s="386"/>
      <c r="R186" s="386"/>
      <c r="S186" s="386"/>
      <c r="T186" s="386"/>
      <c r="U186" s="386"/>
      <c r="V186" s="386"/>
      <c r="W186" s="386"/>
      <c r="X186" s="386"/>
      <c r="Y186" s="386"/>
      <c r="Z186" s="386"/>
      <c r="AA186" s="387"/>
    </row>
    <row r="187" spans="2:29" ht="13.95" customHeight="1" x14ac:dyDescent="0.3">
      <c r="B187" s="93"/>
      <c r="C187" s="93"/>
      <c r="D187" s="93"/>
      <c r="E187" s="93"/>
      <c r="F187" s="93"/>
      <c r="G187" s="93"/>
      <c r="H187" s="93"/>
      <c r="I187" s="93"/>
      <c r="J187" s="93"/>
      <c r="K187" s="93"/>
      <c r="L187" s="93"/>
      <c r="N187" s="95"/>
    </row>
    <row r="188" spans="2:29" x14ac:dyDescent="0.3">
      <c r="B188" s="439"/>
      <c r="C188" s="440"/>
      <c r="D188" s="440"/>
      <c r="E188" s="440"/>
      <c r="F188" s="438"/>
      <c r="G188" s="381">
        <v>2010</v>
      </c>
      <c r="H188" s="381">
        <v>2011</v>
      </c>
      <c r="I188" s="381">
        <v>2012</v>
      </c>
      <c r="J188" s="381">
        <v>2013</v>
      </c>
      <c r="K188" s="381">
        <v>2014</v>
      </c>
      <c r="L188" s="381">
        <v>2015</v>
      </c>
      <c r="M188" s="381">
        <v>2016</v>
      </c>
      <c r="N188" s="381">
        <v>2017</v>
      </c>
      <c r="O188" s="381">
        <v>2018</v>
      </c>
      <c r="P188" s="381">
        <v>2019</v>
      </c>
      <c r="Q188" s="381">
        <v>2020</v>
      </c>
      <c r="R188" s="381">
        <v>2021</v>
      </c>
      <c r="S188" s="381">
        <v>2022</v>
      </c>
      <c r="T188" s="381">
        <v>2023</v>
      </c>
      <c r="U188" s="381">
        <v>2024</v>
      </c>
      <c r="V188" s="381">
        <v>2025</v>
      </c>
      <c r="W188" s="381">
        <v>2026</v>
      </c>
      <c r="X188" s="381">
        <v>2027</v>
      </c>
      <c r="Y188" s="381">
        <v>2028</v>
      </c>
      <c r="Z188" s="381">
        <v>2029</v>
      </c>
      <c r="AA188" s="381">
        <v>2030</v>
      </c>
    </row>
    <row r="189" spans="2:29" ht="30" x14ac:dyDescent="0.35">
      <c r="B189" s="473" t="s">
        <v>163</v>
      </c>
      <c r="C189" s="389" t="s">
        <v>279</v>
      </c>
      <c r="D189" s="389" t="s">
        <v>397</v>
      </c>
      <c r="E189" s="474" t="s">
        <v>247</v>
      </c>
      <c r="F189" s="79" t="s">
        <v>442</v>
      </c>
      <c r="G189" s="397" t="s">
        <v>197</v>
      </c>
      <c r="H189" s="397" t="s">
        <v>197</v>
      </c>
      <c r="I189" s="397" t="s">
        <v>197</v>
      </c>
      <c r="J189" s="397" t="s">
        <v>197</v>
      </c>
      <c r="K189" s="397" t="s">
        <v>197</v>
      </c>
      <c r="L189" s="397" t="s">
        <v>197</v>
      </c>
      <c r="M189" s="397" t="s">
        <v>197</v>
      </c>
      <c r="N189" s="397" t="s">
        <v>197</v>
      </c>
      <c r="O189" s="397" t="s">
        <v>197</v>
      </c>
      <c r="P189" s="397" t="s">
        <v>197</v>
      </c>
      <c r="Q189" s="397" t="s">
        <v>197</v>
      </c>
      <c r="R189" s="397" t="s">
        <v>197</v>
      </c>
      <c r="S189" s="397" t="s">
        <v>197</v>
      </c>
      <c r="T189" s="397" t="s">
        <v>197</v>
      </c>
      <c r="U189" s="397" t="s">
        <v>197</v>
      </c>
      <c r="V189" s="397" t="s">
        <v>197</v>
      </c>
      <c r="W189" s="397" t="s">
        <v>197</v>
      </c>
      <c r="X189" s="397" t="s">
        <v>197</v>
      </c>
      <c r="Y189" s="397" t="s">
        <v>197</v>
      </c>
      <c r="Z189" s="397" t="s">
        <v>197</v>
      </c>
      <c r="AA189" s="397" t="s">
        <v>197</v>
      </c>
    </row>
    <row r="190" spans="2:29" x14ac:dyDescent="0.3">
      <c r="B190" s="16" t="s">
        <v>15</v>
      </c>
      <c r="C190" s="16"/>
      <c r="D190" s="377"/>
      <c r="E190" s="377"/>
      <c r="F190" s="377"/>
      <c r="G190" s="58">
        <f>SUM(G191:G258)</f>
        <v>3875855.7150321514</v>
      </c>
      <c r="H190" s="58">
        <f t="shared" ref="H190:M190" si="87">SUM(H191:H258)</f>
        <v>4204795.5495570004</v>
      </c>
      <c r="I190" s="58">
        <f t="shared" si="87"/>
        <v>4475347.2606733171</v>
      </c>
      <c r="J190" s="58">
        <f t="shared" si="87"/>
        <v>4692441.8888248773</v>
      </c>
      <c r="K190" s="58">
        <f t="shared" si="87"/>
        <v>5426028.4641763652</v>
      </c>
      <c r="L190" s="58">
        <f t="shared" si="87"/>
        <v>5718182.0382411722</v>
      </c>
      <c r="M190" s="58">
        <f t="shared" si="87"/>
        <v>6857813.3036782192</v>
      </c>
      <c r="N190" s="58">
        <f>SUM(N191:N258)</f>
        <v>6556082.4895821987</v>
      </c>
      <c r="O190" s="58">
        <f>SUM(O191:O258)</f>
        <v>6373210.9984091837</v>
      </c>
      <c r="P190" s="58">
        <f t="shared" ref="P190:Z190" si="88">SUM(P191:P258)</f>
        <v>6538663.1966314064</v>
      </c>
      <c r="Q190" s="58">
        <f t="shared" si="88"/>
        <v>4144352.6042714287</v>
      </c>
      <c r="R190" s="58">
        <f t="shared" si="88"/>
        <v>4124031.4913455956</v>
      </c>
      <c r="S190" s="58">
        <f>SUM(S191:S258)</f>
        <v>4124031.4913455956</v>
      </c>
      <c r="T190" s="58">
        <f>SUM(T191:T258)</f>
        <v>4124031.4913455956</v>
      </c>
      <c r="U190" s="58">
        <f t="shared" si="88"/>
        <v>4124031.4913455956</v>
      </c>
      <c r="V190" s="58">
        <f t="shared" si="88"/>
        <v>4124031.4913455956</v>
      </c>
      <c r="W190" s="58">
        <f t="shared" si="88"/>
        <v>4124031.4913455956</v>
      </c>
      <c r="X190" s="58">
        <f t="shared" si="88"/>
        <v>4124031.4913455956</v>
      </c>
      <c r="Y190" s="58">
        <f t="shared" si="88"/>
        <v>4124031.4913455956</v>
      </c>
      <c r="Z190" s="58">
        <f t="shared" si="88"/>
        <v>4124031.4913455956</v>
      </c>
      <c r="AA190" s="58">
        <f>SUM(AA191:AA258)</f>
        <v>4124031.4913455956</v>
      </c>
      <c r="AB190" s="401"/>
      <c r="AC190" s="148"/>
    </row>
    <row r="191" spans="2:29" x14ac:dyDescent="0.3">
      <c r="B191" s="75" t="s">
        <v>317</v>
      </c>
      <c r="C191" s="75"/>
      <c r="D191" s="75"/>
      <c r="E191" s="75"/>
      <c r="F191" s="398"/>
      <c r="G191" s="61"/>
      <c r="H191" s="61"/>
      <c r="I191" s="61"/>
      <c r="J191" s="61"/>
      <c r="K191" s="61"/>
      <c r="L191" s="61"/>
      <c r="M191" s="61"/>
      <c r="N191" s="61"/>
      <c r="O191" s="61"/>
      <c r="P191" s="61"/>
      <c r="Q191" s="61"/>
      <c r="R191" s="61"/>
      <c r="S191" s="61"/>
      <c r="T191" s="61"/>
      <c r="U191" s="61"/>
      <c r="V191" s="61"/>
      <c r="W191" s="61"/>
      <c r="X191" s="61"/>
      <c r="Y191" s="61"/>
      <c r="Z191" s="61"/>
      <c r="AA191" s="61"/>
      <c r="AB191" s="26"/>
    </row>
    <row r="192" spans="2:29" x14ac:dyDescent="0.3">
      <c r="B192" s="76" t="s">
        <v>318</v>
      </c>
      <c r="C192" s="108">
        <v>2012</v>
      </c>
      <c r="D192" s="426">
        <v>17.5</v>
      </c>
      <c r="E192" s="207"/>
      <c r="F192" s="399">
        <f>+OM_EF_2017!G24</f>
        <v>0.56430470027607305</v>
      </c>
      <c r="G192" s="49">
        <v>0</v>
      </c>
      <c r="H192" s="49">
        <v>0</v>
      </c>
      <c r="I192" s="49">
        <v>57810.708899999998</v>
      </c>
      <c r="J192" s="49">
        <v>107684.09799999998</v>
      </c>
      <c r="K192" s="49">
        <v>108265.76249999998</v>
      </c>
      <c r="L192" s="49">
        <v>62901.071699999942</v>
      </c>
      <c r="M192" s="49">
        <v>100635.927</v>
      </c>
      <c r="N192" s="49">
        <v>49236.522900000004</v>
      </c>
      <c r="O192" s="49">
        <f>+AVERAGE($L$192:$N$192)</f>
        <v>70924.507199999978</v>
      </c>
      <c r="P192" s="49">
        <f t="shared" ref="P192:Y192" si="89">+AVERAGE($L$192:$N$192)</f>
        <v>70924.507199999978</v>
      </c>
      <c r="Q192" s="49">
        <f t="shared" si="89"/>
        <v>70924.507199999978</v>
      </c>
      <c r="R192" s="49">
        <f t="shared" si="89"/>
        <v>70924.507199999978</v>
      </c>
      <c r="S192" s="49">
        <f t="shared" si="89"/>
        <v>70924.507199999978</v>
      </c>
      <c r="T192" s="49">
        <f t="shared" si="89"/>
        <v>70924.507199999978</v>
      </c>
      <c r="U192" s="49">
        <f t="shared" si="89"/>
        <v>70924.507199999978</v>
      </c>
      <c r="V192" s="49">
        <f t="shared" si="89"/>
        <v>70924.507199999978</v>
      </c>
      <c r="W192" s="49">
        <f t="shared" si="89"/>
        <v>70924.507199999978</v>
      </c>
      <c r="X192" s="49">
        <f t="shared" si="89"/>
        <v>70924.507199999978</v>
      </c>
      <c r="Y192" s="49">
        <f t="shared" si="89"/>
        <v>70924.507199999978</v>
      </c>
      <c r="Z192" s="49">
        <f>+AVERAGE($L$192:$N$192)</f>
        <v>70924.507199999978</v>
      </c>
      <c r="AA192" s="49">
        <f>+AVERAGE($L$192:$N$192)</f>
        <v>70924.507199999978</v>
      </c>
      <c r="AB192" s="26"/>
    </row>
    <row r="193" spans="2:28" x14ac:dyDescent="0.3">
      <c r="B193" s="76" t="s">
        <v>324</v>
      </c>
      <c r="C193" s="108">
        <v>2013</v>
      </c>
      <c r="D193" s="426">
        <v>32.4</v>
      </c>
      <c r="E193" s="207"/>
      <c r="F193" s="399">
        <f>+OM_EF_2017!G25</f>
        <v>0.4944620795160809</v>
      </c>
      <c r="G193" s="49">
        <v>0</v>
      </c>
      <c r="H193" s="49">
        <v>0</v>
      </c>
      <c r="I193" s="49">
        <v>0</v>
      </c>
      <c r="J193" s="49">
        <v>103575.98907</v>
      </c>
      <c r="K193" s="49">
        <v>74350.106548000011</v>
      </c>
      <c r="L193" s="49">
        <v>230006.70250000007</v>
      </c>
      <c r="M193" s="49">
        <v>213864.51399999997</v>
      </c>
      <c r="N193" s="49">
        <v>148687.6958000001</v>
      </c>
      <c r="O193" s="49">
        <f>+AVERAGE($L$193:$N$193)</f>
        <v>197519.63743333341</v>
      </c>
      <c r="P193" s="49">
        <f t="shared" ref="P193:Y193" si="90">+AVERAGE($L$193:$N$193)</f>
        <v>197519.63743333341</v>
      </c>
      <c r="Q193" s="49">
        <f t="shared" si="90"/>
        <v>197519.63743333341</v>
      </c>
      <c r="R193" s="49">
        <f t="shared" si="90"/>
        <v>197519.63743333341</v>
      </c>
      <c r="S193" s="49">
        <f t="shared" si="90"/>
        <v>197519.63743333341</v>
      </c>
      <c r="T193" s="49">
        <f t="shared" si="90"/>
        <v>197519.63743333341</v>
      </c>
      <c r="U193" s="49">
        <f t="shared" si="90"/>
        <v>197519.63743333341</v>
      </c>
      <c r="V193" s="49">
        <f t="shared" si="90"/>
        <v>197519.63743333341</v>
      </c>
      <c r="W193" s="49">
        <f t="shared" si="90"/>
        <v>197519.63743333341</v>
      </c>
      <c r="X193" s="49">
        <f t="shared" si="90"/>
        <v>197519.63743333341</v>
      </c>
      <c r="Y193" s="49">
        <f t="shared" si="90"/>
        <v>197519.63743333341</v>
      </c>
      <c r="Z193" s="49">
        <f>+AVERAGE($L$193:$N$193)</f>
        <v>197519.63743333341</v>
      </c>
      <c r="AA193" s="49">
        <f>+AVERAGE($L$193:$N$193)</f>
        <v>197519.63743333341</v>
      </c>
      <c r="AB193" s="26"/>
    </row>
    <row r="194" spans="2:28" x14ac:dyDescent="0.3">
      <c r="B194" s="75" t="s">
        <v>19</v>
      </c>
      <c r="C194" s="420"/>
      <c r="D194" s="75"/>
      <c r="E194" s="75"/>
      <c r="F194" s="398"/>
      <c r="G194" s="61"/>
      <c r="H194" s="61"/>
      <c r="I194" s="61"/>
      <c r="J194" s="61"/>
      <c r="K194" s="61"/>
      <c r="L194" s="61"/>
      <c r="M194" s="61"/>
      <c r="N194" s="61"/>
      <c r="O194" s="61"/>
      <c r="P194" s="61"/>
      <c r="Q194" s="61"/>
      <c r="R194" s="61"/>
      <c r="S194" s="61"/>
      <c r="T194" s="61"/>
      <c r="U194" s="61"/>
      <c r="V194" s="61"/>
      <c r="W194" s="61"/>
      <c r="X194" s="61"/>
      <c r="Y194" s="61"/>
      <c r="Z194" s="61"/>
      <c r="AA194" s="61"/>
      <c r="AB194" s="26"/>
    </row>
    <row r="195" spans="2:28" x14ac:dyDescent="0.3">
      <c r="B195" s="76" t="s">
        <v>87</v>
      </c>
      <c r="C195" s="108">
        <v>1974</v>
      </c>
      <c r="D195" s="426">
        <v>3</v>
      </c>
      <c r="E195" s="207"/>
      <c r="F195" s="399">
        <f>+OM_EF_2017!G27</f>
        <v>0.60378353760396697</v>
      </c>
      <c r="G195" s="49">
        <v>0</v>
      </c>
      <c r="H195" s="49">
        <v>1295.25873</v>
      </c>
      <c r="I195" s="49">
        <v>6370.2055145175</v>
      </c>
      <c r="J195" s="49">
        <v>1574.99368394</v>
      </c>
      <c r="K195" s="49">
        <v>5457.5982823000022</v>
      </c>
      <c r="L195" s="49">
        <v>903.1293569275839</v>
      </c>
      <c r="M195" s="49">
        <v>2065.3987464399997</v>
      </c>
      <c r="N195" s="49">
        <v>511.0025</v>
      </c>
      <c r="O195" s="49">
        <f t="shared" ref="O195:X195" si="91">+AVERAGE($L$195:$N$195)</f>
        <v>1159.8435344558613</v>
      </c>
      <c r="P195" s="49">
        <f t="shared" si="91"/>
        <v>1159.8435344558613</v>
      </c>
      <c r="Q195" s="49">
        <f t="shared" si="91"/>
        <v>1159.8435344558613</v>
      </c>
      <c r="R195" s="49">
        <f t="shared" si="91"/>
        <v>1159.8435344558613</v>
      </c>
      <c r="S195" s="49">
        <f t="shared" si="91"/>
        <v>1159.8435344558613</v>
      </c>
      <c r="T195" s="49">
        <f t="shared" si="91"/>
        <v>1159.8435344558613</v>
      </c>
      <c r="U195" s="49">
        <f t="shared" si="91"/>
        <v>1159.8435344558613</v>
      </c>
      <c r="V195" s="49">
        <f t="shared" si="91"/>
        <v>1159.8435344558613</v>
      </c>
      <c r="W195" s="49">
        <f t="shared" si="91"/>
        <v>1159.8435344558613</v>
      </c>
      <c r="X195" s="49">
        <f t="shared" si="91"/>
        <v>1159.8435344558613</v>
      </c>
      <c r="Y195" s="49">
        <f t="shared" ref="Y195:AA195" si="92">+AVERAGE($L$195:$N$195)</f>
        <v>1159.8435344558613</v>
      </c>
      <c r="Z195" s="49">
        <f t="shared" si="92"/>
        <v>1159.8435344558613</v>
      </c>
      <c r="AA195" s="49">
        <f t="shared" si="92"/>
        <v>1159.8435344558613</v>
      </c>
      <c r="AB195" s="26"/>
    </row>
    <row r="196" spans="2:28" x14ac:dyDescent="0.3">
      <c r="B196" s="76" t="s">
        <v>88</v>
      </c>
      <c r="C196" s="108">
        <v>1974</v>
      </c>
      <c r="D196" s="426">
        <v>3</v>
      </c>
      <c r="E196" s="207"/>
      <c r="F196" s="399">
        <f>+OM_EF_2017!G28</f>
        <v>0.60378353760396697</v>
      </c>
      <c r="G196" s="49">
        <v>7078.1761228214964</v>
      </c>
      <c r="H196" s="49">
        <v>6630.8057900000003</v>
      </c>
      <c r="I196" s="49">
        <v>0</v>
      </c>
      <c r="J196" s="49">
        <v>0</v>
      </c>
      <c r="K196" s="49">
        <v>1826.3282691160052</v>
      </c>
      <c r="L196" s="49">
        <v>911.2479539279999</v>
      </c>
      <c r="M196" s="49">
        <v>2494.435346064</v>
      </c>
      <c r="N196" s="49">
        <v>148.19450000000001</v>
      </c>
      <c r="O196" s="49">
        <f t="shared" ref="O196:X196" si="93">+AVERAGE($L$196:$N$196)</f>
        <v>1184.6259333306666</v>
      </c>
      <c r="P196" s="49">
        <f t="shared" si="93"/>
        <v>1184.6259333306666</v>
      </c>
      <c r="Q196" s="49">
        <f t="shared" si="93"/>
        <v>1184.6259333306666</v>
      </c>
      <c r="R196" s="49">
        <f t="shared" si="93"/>
        <v>1184.6259333306666</v>
      </c>
      <c r="S196" s="49">
        <f t="shared" si="93"/>
        <v>1184.6259333306666</v>
      </c>
      <c r="T196" s="49">
        <f t="shared" si="93"/>
        <v>1184.6259333306666</v>
      </c>
      <c r="U196" s="49">
        <f t="shared" si="93"/>
        <v>1184.6259333306666</v>
      </c>
      <c r="V196" s="49">
        <f t="shared" si="93"/>
        <v>1184.6259333306666</v>
      </c>
      <c r="W196" s="49">
        <f t="shared" si="93"/>
        <v>1184.6259333306666</v>
      </c>
      <c r="X196" s="49">
        <f t="shared" si="93"/>
        <v>1184.6259333306666</v>
      </c>
      <c r="Y196" s="49">
        <f t="shared" ref="Y196:AA196" si="94">+AVERAGE($L$196:$N$196)</f>
        <v>1184.6259333306666</v>
      </c>
      <c r="Z196" s="49">
        <f t="shared" si="94"/>
        <v>1184.6259333306666</v>
      </c>
      <c r="AA196" s="49">
        <f t="shared" si="94"/>
        <v>1184.6259333306666</v>
      </c>
      <c r="AB196" s="26"/>
    </row>
    <row r="197" spans="2:28" x14ac:dyDescent="0.3">
      <c r="B197" s="76" t="s">
        <v>89</v>
      </c>
      <c r="C197" s="108">
        <v>1974</v>
      </c>
      <c r="D197" s="426">
        <v>3</v>
      </c>
      <c r="E197" s="207"/>
      <c r="F197" s="399">
        <f>+OM_EF_2017!G29</f>
        <v>0.60378353760396697</v>
      </c>
      <c r="G197" s="49">
        <v>6933.803202000001</v>
      </c>
      <c r="H197" s="49">
        <v>3921.550401</v>
      </c>
      <c r="I197" s="49">
        <v>7512.4494400000012</v>
      </c>
      <c r="J197" s="49">
        <v>1769.8755000000001</v>
      </c>
      <c r="K197" s="49">
        <v>5453.1379999999999</v>
      </c>
      <c r="L197" s="49">
        <v>742.68149999999991</v>
      </c>
      <c r="M197" s="49">
        <v>3046.8119999999999</v>
      </c>
      <c r="N197" s="49">
        <v>740.51250000000005</v>
      </c>
      <c r="O197" s="49">
        <f t="shared" ref="O197:X197" si="95">+AVERAGE($L$197:$N$197)</f>
        <v>1510.0019999999997</v>
      </c>
      <c r="P197" s="49">
        <f t="shared" si="95"/>
        <v>1510.0019999999997</v>
      </c>
      <c r="Q197" s="49">
        <f t="shared" si="95"/>
        <v>1510.0019999999997</v>
      </c>
      <c r="R197" s="49">
        <f t="shared" si="95"/>
        <v>1510.0019999999997</v>
      </c>
      <c r="S197" s="49">
        <f t="shared" si="95"/>
        <v>1510.0019999999997</v>
      </c>
      <c r="T197" s="49">
        <f t="shared" si="95"/>
        <v>1510.0019999999997</v>
      </c>
      <c r="U197" s="49">
        <f t="shared" si="95"/>
        <v>1510.0019999999997</v>
      </c>
      <c r="V197" s="49">
        <f t="shared" si="95"/>
        <v>1510.0019999999997</v>
      </c>
      <c r="W197" s="49">
        <f t="shared" si="95"/>
        <v>1510.0019999999997</v>
      </c>
      <c r="X197" s="49">
        <f t="shared" si="95"/>
        <v>1510.0019999999997</v>
      </c>
      <c r="Y197" s="49">
        <f t="shared" ref="Y197:AA197" si="96">+AVERAGE($L$197:$N$197)</f>
        <v>1510.0019999999997</v>
      </c>
      <c r="Z197" s="49">
        <f t="shared" si="96"/>
        <v>1510.0019999999997</v>
      </c>
      <c r="AA197" s="49">
        <f t="shared" si="96"/>
        <v>1510.0019999999997</v>
      </c>
      <c r="AB197" s="26"/>
    </row>
    <row r="198" spans="2:28" x14ac:dyDescent="0.3">
      <c r="B198" s="76" t="s">
        <v>90</v>
      </c>
      <c r="C198" s="108">
        <v>1970</v>
      </c>
      <c r="D198" s="426"/>
      <c r="E198" s="207"/>
      <c r="F198" s="399"/>
      <c r="G198" s="49">
        <v>0</v>
      </c>
      <c r="H198" s="49">
        <v>0</v>
      </c>
      <c r="I198" s="49">
        <v>0</v>
      </c>
      <c r="J198" s="49">
        <v>0</v>
      </c>
      <c r="K198" s="49">
        <v>0</v>
      </c>
      <c r="L198" s="49">
        <v>0</v>
      </c>
      <c r="M198" s="49">
        <v>0</v>
      </c>
      <c r="N198" s="49">
        <v>0</v>
      </c>
      <c r="O198" s="49">
        <f t="shared" ref="O198:O206" si="97">+AVERAGE(L198:N198)</f>
        <v>0</v>
      </c>
      <c r="P198" s="49">
        <f t="shared" ref="P198:AA199" si="98">+O198</f>
        <v>0</v>
      </c>
      <c r="Q198" s="49">
        <f t="shared" si="98"/>
        <v>0</v>
      </c>
      <c r="R198" s="49">
        <f t="shared" si="98"/>
        <v>0</v>
      </c>
      <c r="S198" s="49">
        <f t="shared" si="98"/>
        <v>0</v>
      </c>
      <c r="T198" s="49">
        <f t="shared" si="98"/>
        <v>0</v>
      </c>
      <c r="U198" s="49">
        <f t="shared" si="98"/>
        <v>0</v>
      </c>
      <c r="V198" s="49">
        <f t="shared" si="98"/>
        <v>0</v>
      </c>
      <c r="W198" s="49">
        <f t="shared" si="98"/>
        <v>0</v>
      </c>
      <c r="X198" s="49">
        <f t="shared" si="98"/>
        <v>0</v>
      </c>
      <c r="Y198" s="49">
        <f t="shared" si="98"/>
        <v>0</v>
      </c>
      <c r="Z198" s="49">
        <f t="shared" si="98"/>
        <v>0</v>
      </c>
      <c r="AA198" s="49">
        <f t="shared" si="98"/>
        <v>0</v>
      </c>
      <c r="AB198" s="26"/>
    </row>
    <row r="199" spans="2:28" x14ac:dyDescent="0.3">
      <c r="B199" s="76" t="s">
        <v>91</v>
      </c>
      <c r="C199" s="108">
        <v>1971</v>
      </c>
      <c r="D199" s="426"/>
      <c r="E199" s="207"/>
      <c r="F199" s="399"/>
      <c r="G199" s="49">
        <v>2.1599455000000001</v>
      </c>
      <c r="H199" s="49">
        <v>0</v>
      </c>
      <c r="I199" s="49">
        <v>0</v>
      </c>
      <c r="J199" s="49">
        <v>0</v>
      </c>
      <c r="K199" s="49">
        <v>0</v>
      </c>
      <c r="L199" s="49">
        <v>0</v>
      </c>
      <c r="M199" s="49">
        <v>0</v>
      </c>
      <c r="N199" s="49">
        <v>0</v>
      </c>
      <c r="O199" s="49">
        <f t="shared" si="97"/>
        <v>0</v>
      </c>
      <c r="P199" s="49">
        <f t="shared" si="98"/>
        <v>0</v>
      </c>
      <c r="Q199" s="49">
        <f t="shared" si="98"/>
        <v>0</v>
      </c>
      <c r="R199" s="49">
        <f t="shared" si="98"/>
        <v>0</v>
      </c>
      <c r="S199" s="49">
        <f t="shared" si="98"/>
        <v>0</v>
      </c>
      <c r="T199" s="49">
        <f t="shared" si="98"/>
        <v>0</v>
      </c>
      <c r="U199" s="49">
        <f t="shared" si="98"/>
        <v>0</v>
      </c>
      <c r="V199" s="49">
        <f t="shared" si="98"/>
        <v>0</v>
      </c>
      <c r="W199" s="49">
        <f t="shared" si="98"/>
        <v>0</v>
      </c>
      <c r="X199" s="49">
        <f t="shared" si="98"/>
        <v>0</v>
      </c>
      <c r="Y199" s="49">
        <f t="shared" si="98"/>
        <v>0</v>
      </c>
      <c r="Z199" s="49">
        <f t="shared" si="98"/>
        <v>0</v>
      </c>
      <c r="AA199" s="49">
        <f t="shared" si="98"/>
        <v>0</v>
      </c>
      <c r="AB199" s="26"/>
    </row>
    <row r="200" spans="2:28" x14ac:dyDescent="0.3">
      <c r="B200" s="76" t="s">
        <v>92</v>
      </c>
      <c r="C200" s="108">
        <v>1994</v>
      </c>
      <c r="D200" s="426">
        <v>18</v>
      </c>
      <c r="E200" s="207"/>
      <c r="F200" s="399">
        <f>+OM_EF_2017!G30</f>
        <v>0.68049204311663647</v>
      </c>
      <c r="G200" s="49">
        <v>128803.56000000001</v>
      </c>
      <c r="H200" s="49">
        <v>132236.64000000001</v>
      </c>
      <c r="I200" s="49">
        <v>116890.92</v>
      </c>
      <c r="J200" s="49">
        <v>106260.78000000001</v>
      </c>
      <c r="K200" s="49">
        <v>105427.86</v>
      </c>
      <c r="L200" s="49">
        <v>83446.760000000184</v>
      </c>
      <c r="M200" s="49">
        <v>101154.24000000002</v>
      </c>
      <c r="N200" s="49">
        <v>139685.16</v>
      </c>
      <c r="O200" s="49">
        <f>+AVERAGE($L$200:$N$200)</f>
        <v>108095.38666666673</v>
      </c>
      <c r="P200" s="49">
        <f t="shared" ref="P200:Y200" si="99">+AVERAGE($L$200:$N$200)</f>
        <v>108095.38666666673</v>
      </c>
      <c r="Q200" s="49">
        <f t="shared" si="99"/>
        <v>108095.38666666673</v>
      </c>
      <c r="R200" s="49">
        <f t="shared" si="99"/>
        <v>108095.38666666673</v>
      </c>
      <c r="S200" s="49">
        <f t="shared" si="99"/>
        <v>108095.38666666673</v>
      </c>
      <c r="T200" s="49">
        <f t="shared" si="99"/>
        <v>108095.38666666673</v>
      </c>
      <c r="U200" s="49">
        <f t="shared" si="99"/>
        <v>108095.38666666673</v>
      </c>
      <c r="V200" s="49">
        <f t="shared" si="99"/>
        <v>108095.38666666673</v>
      </c>
      <c r="W200" s="49">
        <f t="shared" si="99"/>
        <v>108095.38666666673</v>
      </c>
      <c r="X200" s="49">
        <f t="shared" si="99"/>
        <v>108095.38666666673</v>
      </c>
      <c r="Y200" s="49">
        <f t="shared" si="99"/>
        <v>108095.38666666673</v>
      </c>
      <c r="Z200" s="49">
        <f>+AVERAGE($L$200:$N$200)</f>
        <v>108095.38666666673</v>
      </c>
      <c r="AA200" s="49">
        <f>+AVERAGE($L$200:$N$200)</f>
        <v>108095.38666666673</v>
      </c>
      <c r="AB200" s="26"/>
    </row>
    <row r="201" spans="2:28" x14ac:dyDescent="0.3">
      <c r="B201" s="76" t="s">
        <v>93</v>
      </c>
      <c r="C201" s="108">
        <v>2007</v>
      </c>
      <c r="D201" s="426">
        <v>2</v>
      </c>
      <c r="E201" s="207"/>
      <c r="F201" s="399">
        <f>+OM_EF_2017!G31</f>
        <v>0.53565738803214413</v>
      </c>
      <c r="G201" s="49">
        <v>8515.6443321999977</v>
      </c>
      <c r="H201" s="49">
        <v>9389.0358410000008</v>
      </c>
      <c r="I201" s="49">
        <v>1184.838632</v>
      </c>
      <c r="J201" s="49">
        <v>338.88614000000001</v>
      </c>
      <c r="K201" s="49">
        <v>10782.301104999993</v>
      </c>
      <c r="L201" s="49">
        <v>8423.3989699999547</v>
      </c>
      <c r="M201" s="49">
        <v>10825.283039999975</v>
      </c>
      <c r="N201" s="49">
        <v>697.1232500000001</v>
      </c>
      <c r="O201" s="49">
        <f>+AVERAGE($L$201:$N$201)</f>
        <v>6648.6017533333106</v>
      </c>
      <c r="P201" s="49">
        <f t="shared" ref="P201:Y201" si="100">+AVERAGE($L$201:$N$201)</f>
        <v>6648.6017533333106</v>
      </c>
      <c r="Q201" s="49">
        <f t="shared" si="100"/>
        <v>6648.6017533333106</v>
      </c>
      <c r="R201" s="49">
        <f t="shared" si="100"/>
        <v>6648.6017533333106</v>
      </c>
      <c r="S201" s="49">
        <f t="shared" si="100"/>
        <v>6648.6017533333106</v>
      </c>
      <c r="T201" s="49">
        <f t="shared" si="100"/>
        <v>6648.6017533333106</v>
      </c>
      <c r="U201" s="49">
        <f t="shared" si="100"/>
        <v>6648.6017533333106</v>
      </c>
      <c r="V201" s="49">
        <f t="shared" si="100"/>
        <v>6648.6017533333106</v>
      </c>
      <c r="W201" s="49">
        <f t="shared" si="100"/>
        <v>6648.6017533333106</v>
      </c>
      <c r="X201" s="49">
        <f t="shared" si="100"/>
        <v>6648.6017533333106</v>
      </c>
      <c r="Y201" s="49">
        <f t="shared" si="100"/>
        <v>6648.6017533333106</v>
      </c>
      <c r="Z201" s="49">
        <f>+AVERAGE($L$201:$N$201)</f>
        <v>6648.6017533333106</v>
      </c>
      <c r="AA201" s="49">
        <f>+AVERAGE($L$201:$N$201)</f>
        <v>6648.6017533333106</v>
      </c>
      <c r="AB201" s="26"/>
    </row>
    <row r="202" spans="2:28" x14ac:dyDescent="0.3">
      <c r="B202" s="76" t="s">
        <v>94</v>
      </c>
      <c r="C202" s="108">
        <v>2007</v>
      </c>
      <c r="D202" s="426">
        <v>2</v>
      </c>
      <c r="E202" s="207"/>
      <c r="F202" s="399">
        <f>+OM_EF_2017!G32</f>
        <v>0.53565738803214413</v>
      </c>
      <c r="G202" s="49">
        <v>5375.3301001449963</v>
      </c>
      <c r="H202" s="49">
        <v>6762.7585799999997</v>
      </c>
      <c r="I202" s="49">
        <v>8797.9958194499977</v>
      </c>
      <c r="J202" s="49">
        <v>4904.8445299999994</v>
      </c>
      <c r="K202" s="49">
        <v>2009.3795900000014</v>
      </c>
      <c r="L202" s="49">
        <v>0</v>
      </c>
      <c r="M202" s="49">
        <v>0</v>
      </c>
      <c r="N202" s="49">
        <v>0</v>
      </c>
      <c r="O202" s="49">
        <f t="shared" si="97"/>
        <v>0</v>
      </c>
      <c r="P202" s="49">
        <f t="shared" ref="P202:AA202" si="101">+O202</f>
        <v>0</v>
      </c>
      <c r="Q202" s="49">
        <f t="shared" si="101"/>
        <v>0</v>
      </c>
      <c r="R202" s="49">
        <f t="shared" si="101"/>
        <v>0</v>
      </c>
      <c r="S202" s="49">
        <f t="shared" si="101"/>
        <v>0</v>
      </c>
      <c r="T202" s="49">
        <f t="shared" si="101"/>
        <v>0</v>
      </c>
      <c r="U202" s="49">
        <f t="shared" si="101"/>
        <v>0</v>
      </c>
      <c r="V202" s="49">
        <f t="shared" si="101"/>
        <v>0</v>
      </c>
      <c r="W202" s="49">
        <f t="shared" si="101"/>
        <v>0</v>
      </c>
      <c r="X202" s="49">
        <f t="shared" si="101"/>
        <v>0</v>
      </c>
      <c r="Y202" s="49">
        <f t="shared" si="101"/>
        <v>0</v>
      </c>
      <c r="Z202" s="49">
        <f t="shared" si="101"/>
        <v>0</v>
      </c>
      <c r="AA202" s="49">
        <f t="shared" si="101"/>
        <v>0</v>
      </c>
      <c r="AB202" s="26"/>
    </row>
    <row r="203" spans="2:28" x14ac:dyDescent="0.3">
      <c r="B203" s="76" t="s">
        <v>95</v>
      </c>
      <c r="C203" s="108">
        <v>2007</v>
      </c>
      <c r="D203" s="426">
        <v>2</v>
      </c>
      <c r="E203" s="207"/>
      <c r="F203" s="399">
        <f>+OM_EF_2017!G33</f>
        <v>0.53565738803214413</v>
      </c>
      <c r="G203" s="49">
        <v>5023.2107812749982</v>
      </c>
      <c r="H203" s="49">
        <v>0</v>
      </c>
      <c r="I203" s="49">
        <v>8208.257778800009</v>
      </c>
      <c r="J203" s="49">
        <v>9655.3631199999982</v>
      </c>
      <c r="K203" s="49">
        <v>5505.7637099999756</v>
      </c>
      <c r="L203" s="49">
        <v>4874.0930399999925</v>
      </c>
      <c r="M203" s="49">
        <v>10874.30593000001</v>
      </c>
      <c r="N203" s="49">
        <v>657.71189500000003</v>
      </c>
      <c r="O203" s="49">
        <f>+AVERAGE($L$203:$N$203)</f>
        <v>5468.7036216666675</v>
      </c>
      <c r="P203" s="49">
        <f t="shared" ref="P203:Y203" si="102">+AVERAGE($L$203:$N$203)</f>
        <v>5468.7036216666675</v>
      </c>
      <c r="Q203" s="49">
        <f t="shared" si="102"/>
        <v>5468.7036216666675</v>
      </c>
      <c r="R203" s="49">
        <f t="shared" si="102"/>
        <v>5468.7036216666675</v>
      </c>
      <c r="S203" s="49">
        <f t="shared" si="102"/>
        <v>5468.7036216666675</v>
      </c>
      <c r="T203" s="49">
        <f t="shared" si="102"/>
        <v>5468.7036216666675</v>
      </c>
      <c r="U203" s="49">
        <f t="shared" si="102"/>
        <v>5468.7036216666675</v>
      </c>
      <c r="V203" s="49">
        <f t="shared" si="102"/>
        <v>5468.7036216666675</v>
      </c>
      <c r="W203" s="49">
        <f t="shared" si="102"/>
        <v>5468.7036216666675</v>
      </c>
      <c r="X203" s="49">
        <f t="shared" si="102"/>
        <v>5468.7036216666675</v>
      </c>
      <c r="Y203" s="49">
        <f t="shared" si="102"/>
        <v>5468.7036216666675</v>
      </c>
      <c r="Z203" s="49">
        <f>+AVERAGE($L$203:$N$203)</f>
        <v>5468.7036216666675</v>
      </c>
      <c r="AA203" s="49">
        <f>+AVERAGE($L$203:$N$203)</f>
        <v>5468.7036216666675</v>
      </c>
      <c r="AB203" s="26"/>
    </row>
    <row r="204" spans="2:28" x14ac:dyDescent="0.3">
      <c r="B204" s="76" t="s">
        <v>96</v>
      </c>
      <c r="C204" s="108">
        <v>2007</v>
      </c>
      <c r="D204" s="426">
        <v>2</v>
      </c>
      <c r="E204" s="207"/>
      <c r="F204" s="399">
        <f>+OM_EF_2017!G34</f>
        <v>0.53565738803214413</v>
      </c>
      <c r="G204" s="49">
        <v>2147.3923148100002</v>
      </c>
      <c r="H204" s="49">
        <v>6196.9345160000003</v>
      </c>
      <c r="I204" s="49">
        <v>11548.431087550014</v>
      </c>
      <c r="J204" s="49">
        <v>11349.074575000001</v>
      </c>
      <c r="K204" s="49">
        <v>9975.9341299999905</v>
      </c>
      <c r="L204" s="49">
        <v>7073.2160740378231</v>
      </c>
      <c r="M204" s="49">
        <v>0</v>
      </c>
      <c r="N204" s="49">
        <v>0</v>
      </c>
      <c r="O204" s="49">
        <v>0</v>
      </c>
      <c r="P204" s="49">
        <f t="shared" ref="P204:AA206" si="103">+O204</f>
        <v>0</v>
      </c>
      <c r="Q204" s="49">
        <f t="shared" si="103"/>
        <v>0</v>
      </c>
      <c r="R204" s="49">
        <f t="shared" si="103"/>
        <v>0</v>
      </c>
      <c r="S204" s="49">
        <f t="shared" si="103"/>
        <v>0</v>
      </c>
      <c r="T204" s="49">
        <f t="shared" si="103"/>
        <v>0</v>
      </c>
      <c r="U204" s="49">
        <f t="shared" si="103"/>
        <v>0</v>
      </c>
      <c r="V204" s="49">
        <f t="shared" si="103"/>
        <v>0</v>
      </c>
      <c r="W204" s="49">
        <f t="shared" si="103"/>
        <v>0</v>
      </c>
      <c r="X204" s="49">
        <f t="shared" si="103"/>
        <v>0</v>
      </c>
      <c r="Y204" s="49">
        <f t="shared" si="103"/>
        <v>0</v>
      </c>
      <c r="Z204" s="49">
        <f t="shared" si="103"/>
        <v>0</v>
      </c>
      <c r="AA204" s="49">
        <f t="shared" si="103"/>
        <v>0</v>
      </c>
      <c r="AB204" s="26"/>
    </row>
    <row r="205" spans="2:28" x14ac:dyDescent="0.3">
      <c r="B205" s="76" t="s">
        <v>97</v>
      </c>
      <c r="C205" s="108">
        <v>2008</v>
      </c>
      <c r="D205" s="426">
        <v>2</v>
      </c>
      <c r="E205" s="207"/>
      <c r="F205" s="399">
        <f>+OM_EF_2017!G35</f>
        <v>0.53565738803214413</v>
      </c>
      <c r="G205" s="49">
        <v>8526.9006409999947</v>
      </c>
      <c r="H205" s="49">
        <v>8851.2839679999997</v>
      </c>
      <c r="I205" s="49">
        <v>10087.290187999994</v>
      </c>
      <c r="J205" s="49">
        <v>9758.3664000000153</v>
      </c>
      <c r="K205" s="49">
        <v>4970.5611999999865</v>
      </c>
      <c r="L205" s="49">
        <v>5371.6201999999894</v>
      </c>
      <c r="M205" s="49">
        <v>0</v>
      </c>
      <c r="N205" s="49">
        <v>0</v>
      </c>
      <c r="O205" s="49">
        <v>0</v>
      </c>
      <c r="P205" s="49">
        <f t="shared" si="103"/>
        <v>0</v>
      </c>
      <c r="Q205" s="49">
        <f t="shared" si="103"/>
        <v>0</v>
      </c>
      <c r="R205" s="49">
        <f t="shared" si="103"/>
        <v>0</v>
      </c>
      <c r="S205" s="49">
        <f t="shared" si="103"/>
        <v>0</v>
      </c>
      <c r="T205" s="49">
        <f t="shared" si="103"/>
        <v>0</v>
      </c>
      <c r="U205" s="49">
        <f t="shared" si="103"/>
        <v>0</v>
      </c>
      <c r="V205" s="49">
        <f t="shared" si="103"/>
        <v>0</v>
      </c>
      <c r="W205" s="49">
        <f t="shared" si="103"/>
        <v>0</v>
      </c>
      <c r="X205" s="49">
        <f t="shared" si="103"/>
        <v>0</v>
      </c>
      <c r="Y205" s="49">
        <f t="shared" si="103"/>
        <v>0</v>
      </c>
      <c r="Z205" s="49">
        <f t="shared" si="103"/>
        <v>0</v>
      </c>
      <c r="AA205" s="49">
        <f t="shared" si="103"/>
        <v>0</v>
      </c>
      <c r="AB205" s="26"/>
    </row>
    <row r="206" spans="2:28" x14ac:dyDescent="0.3">
      <c r="B206" s="76" t="s">
        <v>98</v>
      </c>
      <c r="C206" s="108">
        <v>2008</v>
      </c>
      <c r="D206" s="426">
        <v>2</v>
      </c>
      <c r="E206" s="207"/>
      <c r="F206" s="399">
        <f>+OM_EF_2017!G36</f>
        <v>0.53565738803214413</v>
      </c>
      <c r="G206" s="53">
        <v>7797.8255404000083</v>
      </c>
      <c r="H206" s="53">
        <v>10123.336069999999</v>
      </c>
      <c r="I206" s="53">
        <v>9538.6528150000031</v>
      </c>
      <c r="J206" s="53">
        <v>2570.0208000000066</v>
      </c>
      <c r="K206" s="53">
        <v>7007.9093999999996</v>
      </c>
      <c r="L206" s="49">
        <v>0</v>
      </c>
      <c r="M206" s="49">
        <v>0</v>
      </c>
      <c r="N206" s="49">
        <v>0</v>
      </c>
      <c r="O206" s="49">
        <f t="shared" si="97"/>
        <v>0</v>
      </c>
      <c r="P206" s="49">
        <f t="shared" si="103"/>
        <v>0</v>
      </c>
      <c r="Q206" s="49">
        <f t="shared" si="103"/>
        <v>0</v>
      </c>
      <c r="R206" s="49">
        <f t="shared" si="103"/>
        <v>0</v>
      </c>
      <c r="S206" s="49">
        <f t="shared" si="103"/>
        <v>0</v>
      </c>
      <c r="T206" s="49">
        <f t="shared" si="103"/>
        <v>0</v>
      </c>
      <c r="U206" s="49">
        <f t="shared" si="103"/>
        <v>0</v>
      </c>
      <c r="V206" s="49">
        <f t="shared" si="103"/>
        <v>0</v>
      </c>
      <c r="W206" s="49">
        <f t="shared" si="103"/>
        <v>0</v>
      </c>
      <c r="X206" s="49">
        <f t="shared" si="103"/>
        <v>0</v>
      </c>
      <c r="Y206" s="49">
        <f t="shared" si="103"/>
        <v>0</v>
      </c>
      <c r="Z206" s="49">
        <f t="shared" si="103"/>
        <v>0</v>
      </c>
      <c r="AA206" s="49">
        <f t="shared" si="103"/>
        <v>0</v>
      </c>
      <c r="AB206" s="26"/>
    </row>
    <row r="207" spans="2:28" x14ac:dyDescent="0.3">
      <c r="B207" s="76" t="s">
        <v>99</v>
      </c>
      <c r="C207" s="108">
        <v>2008</v>
      </c>
      <c r="D207" s="426">
        <v>2</v>
      </c>
      <c r="E207" s="207"/>
      <c r="F207" s="399">
        <f>+OM_EF_2017!G37</f>
        <v>0.53565738803214413</v>
      </c>
      <c r="G207" s="49">
        <v>0</v>
      </c>
      <c r="H207" s="49">
        <v>4892.938408</v>
      </c>
      <c r="I207" s="49">
        <v>11580.990529000033</v>
      </c>
      <c r="J207" s="49">
        <v>10493.689199999977</v>
      </c>
      <c r="K207" s="49">
        <v>9947.2014000000054</v>
      </c>
      <c r="L207" s="53">
        <v>7564.2671999999584</v>
      </c>
      <c r="M207" s="49">
        <v>8339.7395999998589</v>
      </c>
      <c r="N207" s="49">
        <v>474.07699999999943</v>
      </c>
      <c r="O207" s="49">
        <f>+AVERAGE($L$207:$N$207)</f>
        <v>5459.3612666666058</v>
      </c>
      <c r="P207" s="49">
        <f t="shared" ref="P207:Y207" si="104">+AVERAGE($L$207:$N$207)</f>
        <v>5459.3612666666058</v>
      </c>
      <c r="Q207" s="49">
        <f t="shared" si="104"/>
        <v>5459.3612666666058</v>
      </c>
      <c r="R207" s="49">
        <f t="shared" si="104"/>
        <v>5459.3612666666058</v>
      </c>
      <c r="S207" s="49">
        <f t="shared" si="104"/>
        <v>5459.3612666666058</v>
      </c>
      <c r="T207" s="49">
        <f t="shared" si="104"/>
        <v>5459.3612666666058</v>
      </c>
      <c r="U207" s="49">
        <f t="shared" si="104"/>
        <v>5459.3612666666058</v>
      </c>
      <c r="V207" s="49">
        <f t="shared" si="104"/>
        <v>5459.3612666666058</v>
      </c>
      <c r="W207" s="49">
        <f t="shared" si="104"/>
        <v>5459.3612666666058</v>
      </c>
      <c r="X207" s="49">
        <f t="shared" si="104"/>
        <v>5459.3612666666058</v>
      </c>
      <c r="Y207" s="49">
        <f t="shared" si="104"/>
        <v>5459.3612666666058</v>
      </c>
      <c r="Z207" s="49">
        <f>+AVERAGE($L$207:$N$207)</f>
        <v>5459.3612666666058</v>
      </c>
      <c r="AA207" s="49">
        <f>+AVERAGE($L$207:$N$207)</f>
        <v>5459.3612666666058</v>
      </c>
      <c r="AB207" s="26"/>
    </row>
    <row r="208" spans="2:28" x14ac:dyDescent="0.3">
      <c r="B208" s="77" t="s">
        <v>20</v>
      </c>
      <c r="C208" s="421"/>
      <c r="D208" s="75"/>
      <c r="E208" s="75"/>
      <c r="F208" s="398"/>
      <c r="G208" s="61"/>
      <c r="H208" s="61"/>
      <c r="I208" s="61"/>
      <c r="J208" s="61"/>
      <c r="K208" s="61"/>
      <c r="L208" s="61"/>
      <c r="M208" s="61"/>
      <c r="N208" s="61"/>
      <c r="O208" s="61"/>
      <c r="P208" s="61"/>
      <c r="Q208" s="61"/>
      <c r="R208" s="61"/>
      <c r="S208" s="61"/>
      <c r="T208" s="61"/>
      <c r="U208" s="61"/>
      <c r="V208" s="61"/>
      <c r="W208" s="61"/>
      <c r="X208" s="61"/>
      <c r="Y208" s="61"/>
      <c r="Z208" s="61"/>
      <c r="AA208" s="61"/>
      <c r="AB208" s="26"/>
    </row>
    <row r="209" spans="2:28" x14ac:dyDescent="0.3">
      <c r="B209" s="76" t="s">
        <v>113</v>
      </c>
      <c r="C209" s="108">
        <v>2000</v>
      </c>
      <c r="D209" s="426">
        <v>45</v>
      </c>
      <c r="E209" s="207"/>
      <c r="F209" s="399">
        <f>+OM_EF_2017!G39</f>
        <v>0.53293470959573763</v>
      </c>
      <c r="G209" s="49">
        <v>320717</v>
      </c>
      <c r="H209" s="49">
        <v>327166</v>
      </c>
      <c r="I209" s="49">
        <v>106480</v>
      </c>
      <c r="J209" s="49">
        <v>287973.53399999999</v>
      </c>
      <c r="K209" s="49">
        <v>269807.61800000013</v>
      </c>
      <c r="L209" s="49">
        <v>253280.23099999985</v>
      </c>
      <c r="M209" s="49">
        <v>223504.63100000005</v>
      </c>
      <c r="N209" s="49">
        <v>237695.82099999994</v>
      </c>
      <c r="O209" s="49">
        <f>+AVERAGE($L$209:$N$209)</f>
        <v>238160.22766666661</v>
      </c>
      <c r="P209" s="49">
        <f t="shared" ref="P209:X209" si="105">+AVERAGE($L$209:$N$209)</f>
        <v>238160.22766666661</v>
      </c>
      <c r="Q209" s="49">
        <f t="shared" si="105"/>
        <v>238160.22766666661</v>
      </c>
      <c r="R209" s="49">
        <f t="shared" si="105"/>
        <v>238160.22766666661</v>
      </c>
      <c r="S209" s="49">
        <f t="shared" si="105"/>
        <v>238160.22766666661</v>
      </c>
      <c r="T209" s="49">
        <f t="shared" si="105"/>
        <v>238160.22766666661</v>
      </c>
      <c r="U209" s="49">
        <f t="shared" si="105"/>
        <v>238160.22766666661</v>
      </c>
      <c r="V209" s="49">
        <f t="shared" si="105"/>
        <v>238160.22766666661</v>
      </c>
      <c r="W209" s="49">
        <f t="shared" si="105"/>
        <v>238160.22766666661</v>
      </c>
      <c r="X209" s="49">
        <f t="shared" si="105"/>
        <v>238160.22766666661</v>
      </c>
      <c r="Y209" s="49">
        <f>+AVERAGE($L$209:$N$209)</f>
        <v>238160.22766666661</v>
      </c>
      <c r="Z209" s="49">
        <f>+AVERAGE($L$209:$N$209)</f>
        <v>238160.22766666661</v>
      </c>
      <c r="AA209" s="49">
        <f>+AVERAGE($L$209:$N$209)</f>
        <v>238160.22766666661</v>
      </c>
      <c r="AB209" s="26"/>
    </row>
    <row r="210" spans="2:28" x14ac:dyDescent="0.3">
      <c r="B210" s="76" t="s">
        <v>114</v>
      </c>
      <c r="C210" s="108">
        <v>2000</v>
      </c>
      <c r="D210" s="426">
        <v>45</v>
      </c>
      <c r="E210" s="207"/>
      <c r="F210" s="399">
        <f>+OM_EF_2017!G40</f>
        <v>0.53630846331041515</v>
      </c>
      <c r="G210" s="49">
        <v>331746</v>
      </c>
      <c r="H210" s="49">
        <v>326073</v>
      </c>
      <c r="I210" s="49">
        <v>289542</v>
      </c>
      <c r="J210" s="49">
        <v>202260.81000000006</v>
      </c>
      <c r="K210" s="49">
        <v>173568.66000000032</v>
      </c>
      <c r="L210" s="49">
        <v>33037.908999999891</v>
      </c>
      <c r="M210" s="49">
        <v>15850.489000000001</v>
      </c>
      <c r="N210" s="49">
        <v>77027.985999999757</v>
      </c>
      <c r="O210" s="49">
        <f>+AVERAGE($L$210:$N$210)</f>
        <v>41972.127999999881</v>
      </c>
      <c r="P210" s="49">
        <f t="shared" ref="P210:X210" si="106">+AVERAGE($L$210:$N$210)</f>
        <v>41972.127999999881</v>
      </c>
      <c r="Q210" s="49">
        <f t="shared" si="106"/>
        <v>41972.127999999881</v>
      </c>
      <c r="R210" s="49">
        <f t="shared" si="106"/>
        <v>41972.127999999881</v>
      </c>
      <c r="S210" s="49">
        <f t="shared" si="106"/>
        <v>41972.127999999881</v>
      </c>
      <c r="T210" s="49">
        <f t="shared" si="106"/>
        <v>41972.127999999881</v>
      </c>
      <c r="U210" s="49">
        <f t="shared" si="106"/>
        <v>41972.127999999881</v>
      </c>
      <c r="V210" s="49">
        <f t="shared" si="106"/>
        <v>41972.127999999881</v>
      </c>
      <c r="W210" s="49">
        <f t="shared" si="106"/>
        <v>41972.127999999881</v>
      </c>
      <c r="X210" s="49">
        <f t="shared" si="106"/>
        <v>41972.127999999881</v>
      </c>
      <c r="Y210" s="49">
        <f>+AVERAGE($L$210:$N$210)</f>
        <v>41972.127999999881</v>
      </c>
      <c r="Z210" s="49">
        <f>+AVERAGE($L$210:$N$210)</f>
        <v>41972.127999999881</v>
      </c>
      <c r="AA210" s="49">
        <f>+AVERAGE($L$210:$N$210)</f>
        <v>41972.127999999881</v>
      </c>
      <c r="AB210" s="26"/>
    </row>
    <row r="211" spans="2:28" x14ac:dyDescent="0.3">
      <c r="B211" s="76" t="s">
        <v>326</v>
      </c>
      <c r="C211" s="108">
        <v>2014</v>
      </c>
      <c r="D211" s="426">
        <v>49.02</v>
      </c>
      <c r="E211" s="207"/>
      <c r="F211" s="399">
        <f>+OM_EF_2017!G41</f>
        <v>0.52168886388014557</v>
      </c>
      <c r="G211" s="49"/>
      <c r="H211" s="49"/>
      <c r="I211" s="49"/>
      <c r="J211" s="49"/>
      <c r="K211" s="49">
        <v>265758.58129</v>
      </c>
      <c r="L211" s="49">
        <v>313954.44199999998</v>
      </c>
      <c r="M211" s="49">
        <v>125500.57599999997</v>
      </c>
      <c r="N211" s="49">
        <v>239710.45899999986</v>
      </c>
      <c r="O211" s="49">
        <f>+AVERAGE($L$211:$N$211)</f>
        <v>226388.49233333324</v>
      </c>
      <c r="P211" s="49">
        <f t="shared" ref="P211:X211" si="107">+AVERAGE($L$211:$N$211)</f>
        <v>226388.49233333324</v>
      </c>
      <c r="Q211" s="49">
        <f t="shared" si="107"/>
        <v>226388.49233333324</v>
      </c>
      <c r="R211" s="49">
        <f t="shared" si="107"/>
        <v>226388.49233333324</v>
      </c>
      <c r="S211" s="49">
        <f t="shared" si="107"/>
        <v>226388.49233333324</v>
      </c>
      <c r="T211" s="49">
        <f t="shared" si="107"/>
        <v>226388.49233333324</v>
      </c>
      <c r="U211" s="49">
        <f t="shared" si="107"/>
        <v>226388.49233333324</v>
      </c>
      <c r="V211" s="49">
        <f t="shared" si="107"/>
        <v>226388.49233333324</v>
      </c>
      <c r="W211" s="49">
        <f t="shared" si="107"/>
        <v>226388.49233333324</v>
      </c>
      <c r="X211" s="49">
        <f t="shared" si="107"/>
        <v>226388.49233333324</v>
      </c>
      <c r="Y211" s="49">
        <f>+AVERAGE($L$211:$N$211)</f>
        <v>226388.49233333324</v>
      </c>
      <c r="Z211" s="49">
        <f>+AVERAGE($L$211:$N$211)</f>
        <v>226388.49233333324</v>
      </c>
      <c r="AA211" s="49">
        <f>+AVERAGE($L$211:$N$211)</f>
        <v>226388.49233333324</v>
      </c>
      <c r="AB211" s="26"/>
    </row>
    <row r="212" spans="2:28" x14ac:dyDescent="0.3">
      <c r="B212" s="77" t="s">
        <v>18</v>
      </c>
      <c r="C212" s="421"/>
      <c r="D212" s="75"/>
      <c r="E212" s="75"/>
      <c r="F212" s="398">
        <f>+OM_EF_2017!G42</f>
        <v>0.60672648117717065</v>
      </c>
      <c r="G212" s="44">
        <v>743118.82019999996</v>
      </c>
      <c r="H212" s="44">
        <v>609577.55848999997</v>
      </c>
      <c r="I212" s="44">
        <v>772580.19999999972</v>
      </c>
      <c r="J212" s="44">
        <v>667630.60999999987</v>
      </c>
      <c r="K212" s="44">
        <v>815783.94000000006</v>
      </c>
      <c r="L212" s="44">
        <v>516330.15</v>
      </c>
      <c r="M212" s="44">
        <v>440398.8600000001</v>
      </c>
      <c r="N212" s="44">
        <v>552699.28999999992</v>
      </c>
      <c r="O212" s="44">
        <f>+AVERAGE($L$212:$N$212)</f>
        <v>503142.76666666666</v>
      </c>
      <c r="P212" s="44">
        <f t="shared" ref="P212:AA212" si="108">+AVERAGE($L$212:$N$212)</f>
        <v>503142.76666666666</v>
      </c>
      <c r="Q212" s="44">
        <f t="shared" si="108"/>
        <v>503142.76666666666</v>
      </c>
      <c r="R212" s="44">
        <f t="shared" si="108"/>
        <v>503142.76666666666</v>
      </c>
      <c r="S212" s="44">
        <f t="shared" si="108"/>
        <v>503142.76666666666</v>
      </c>
      <c r="T212" s="44">
        <f t="shared" si="108"/>
        <v>503142.76666666666</v>
      </c>
      <c r="U212" s="44">
        <f t="shared" si="108"/>
        <v>503142.76666666666</v>
      </c>
      <c r="V212" s="44">
        <f t="shared" si="108"/>
        <v>503142.76666666666</v>
      </c>
      <c r="W212" s="44">
        <f t="shared" si="108"/>
        <v>503142.76666666666</v>
      </c>
      <c r="X212" s="44">
        <f t="shared" si="108"/>
        <v>503142.76666666666</v>
      </c>
      <c r="Y212" s="44">
        <f t="shared" si="108"/>
        <v>503142.76666666666</v>
      </c>
      <c r="Z212" s="44">
        <f t="shared" si="108"/>
        <v>503142.76666666666</v>
      </c>
      <c r="AA212" s="44">
        <f t="shared" si="108"/>
        <v>503142.76666666666</v>
      </c>
      <c r="AB212" s="26"/>
    </row>
    <row r="213" spans="2:28" x14ac:dyDescent="0.3">
      <c r="B213" s="76" t="s">
        <v>105</v>
      </c>
      <c r="C213" s="108">
        <v>1996</v>
      </c>
      <c r="D213" s="426">
        <v>56</v>
      </c>
      <c r="E213" s="207"/>
      <c r="F213" s="399">
        <f>+OM_EF_2017!G43</f>
        <v>0.59295201252000207</v>
      </c>
      <c r="G213" s="111"/>
      <c r="H213" s="111"/>
      <c r="I213" s="111"/>
      <c r="J213" s="111"/>
      <c r="K213" s="111"/>
      <c r="L213" s="111"/>
      <c r="M213" s="111"/>
      <c r="N213" s="111"/>
      <c r="O213" s="111"/>
      <c r="P213" s="111"/>
      <c r="Q213" s="111"/>
      <c r="R213" s="111"/>
      <c r="S213" s="111"/>
      <c r="T213" s="111"/>
      <c r="U213" s="111"/>
      <c r="V213" s="111"/>
      <c r="W213" s="111"/>
      <c r="X213" s="111"/>
      <c r="Y213" s="111"/>
      <c r="Z213" s="111"/>
      <c r="AA213" s="111"/>
      <c r="AB213" s="26"/>
    </row>
    <row r="214" spans="2:28" x14ac:dyDescent="0.3">
      <c r="B214" s="76" t="s">
        <v>106</v>
      </c>
      <c r="C214" s="108">
        <v>1996</v>
      </c>
      <c r="D214" s="426">
        <v>56</v>
      </c>
      <c r="E214" s="207"/>
      <c r="F214" s="399">
        <f>+OM_EF_2017!G44</f>
        <v>0.64048050783379351</v>
      </c>
      <c r="G214" s="269"/>
      <c r="H214" s="53"/>
      <c r="I214" s="269"/>
      <c r="J214" s="269"/>
      <c r="K214" s="269"/>
      <c r="L214" s="269"/>
      <c r="M214" s="269"/>
      <c r="N214" s="269"/>
      <c r="O214" s="269"/>
      <c r="P214" s="269"/>
      <c r="Q214" s="269"/>
      <c r="R214" s="269"/>
      <c r="S214" s="269"/>
      <c r="T214" s="269"/>
      <c r="U214" s="269"/>
      <c r="V214" s="269"/>
      <c r="W214" s="269"/>
      <c r="X214" s="269"/>
      <c r="Y214" s="269"/>
      <c r="Z214" s="269"/>
      <c r="AA214" s="269"/>
      <c r="AB214" s="26"/>
    </row>
    <row r="215" spans="2:28" x14ac:dyDescent="0.3">
      <c r="B215" s="76" t="s">
        <v>315</v>
      </c>
      <c r="C215" s="108"/>
      <c r="D215" s="426">
        <v>24.4</v>
      </c>
      <c r="E215" s="207"/>
      <c r="F215" s="399">
        <f>+OM_EF_2017!G45</f>
        <v>0.56087175789973454</v>
      </c>
      <c r="G215" s="53"/>
      <c r="H215" s="53">
        <v>7408.7086380000001</v>
      </c>
      <c r="I215" s="53"/>
      <c r="J215" s="53"/>
      <c r="K215" s="53"/>
      <c r="L215" s="53"/>
      <c r="M215" s="53"/>
      <c r="N215" s="53"/>
      <c r="O215" s="53"/>
      <c r="P215" s="53"/>
      <c r="Q215" s="53"/>
      <c r="R215" s="53"/>
      <c r="S215" s="53"/>
      <c r="T215" s="53"/>
      <c r="U215" s="53"/>
      <c r="V215" s="53"/>
      <c r="W215" s="53"/>
      <c r="X215" s="53"/>
      <c r="Y215" s="53"/>
      <c r="Z215" s="53"/>
      <c r="AA215" s="53"/>
      <c r="AB215" s="26"/>
    </row>
    <row r="216" spans="2:28" x14ac:dyDescent="0.3">
      <c r="B216" s="77" t="s">
        <v>23</v>
      </c>
      <c r="C216" s="421"/>
      <c r="D216" s="425"/>
      <c r="E216" s="75"/>
      <c r="F216" s="398"/>
      <c r="G216" s="44"/>
      <c r="H216" s="44"/>
      <c r="I216" s="44"/>
      <c r="J216" s="44"/>
      <c r="K216" s="44"/>
      <c r="L216" s="44"/>
      <c r="M216" s="44"/>
      <c r="N216" s="44"/>
      <c r="O216" s="44"/>
      <c r="P216" s="44"/>
      <c r="Q216" s="44"/>
      <c r="R216" s="44"/>
      <c r="S216" s="44"/>
      <c r="T216" s="44"/>
      <c r="U216" s="44"/>
      <c r="V216" s="44"/>
      <c r="W216" s="44"/>
      <c r="X216" s="44"/>
      <c r="Y216" s="44"/>
      <c r="Z216" s="44"/>
      <c r="AA216" s="44"/>
      <c r="AB216" s="26"/>
    </row>
    <row r="217" spans="2:28" x14ac:dyDescent="0.3">
      <c r="B217" s="76" t="s">
        <v>107</v>
      </c>
      <c r="C217" s="108">
        <v>2010</v>
      </c>
      <c r="D217" s="426">
        <v>23</v>
      </c>
      <c r="E217" s="207"/>
      <c r="F217" s="399">
        <f>+OM_EF_2017!G47</f>
        <v>0.59224174858007006</v>
      </c>
      <c r="G217" s="53">
        <v>94768</v>
      </c>
      <c r="H217" s="53">
        <v>186730</v>
      </c>
      <c r="I217" s="53">
        <v>193238</v>
      </c>
      <c r="J217" s="53">
        <v>176801</v>
      </c>
      <c r="K217" s="53">
        <v>173128</v>
      </c>
      <c r="L217" s="53">
        <v>75240</v>
      </c>
      <c r="M217" s="53">
        <v>152450</v>
      </c>
      <c r="N217" s="53">
        <v>36192</v>
      </c>
      <c r="O217" s="49">
        <f>+AVERAGE($L$217:$N$217)</f>
        <v>87960.666666666672</v>
      </c>
      <c r="P217" s="49">
        <f t="shared" ref="P217:Y217" si="109">+AVERAGE($L$217:$N$217)</f>
        <v>87960.666666666672</v>
      </c>
      <c r="Q217" s="49">
        <f t="shared" si="109"/>
        <v>87960.666666666672</v>
      </c>
      <c r="R217" s="49">
        <f t="shared" si="109"/>
        <v>87960.666666666672</v>
      </c>
      <c r="S217" s="49">
        <f t="shared" si="109"/>
        <v>87960.666666666672</v>
      </c>
      <c r="T217" s="49">
        <f t="shared" si="109"/>
        <v>87960.666666666672</v>
      </c>
      <c r="U217" s="49">
        <f t="shared" si="109"/>
        <v>87960.666666666672</v>
      </c>
      <c r="V217" s="49">
        <f t="shared" si="109"/>
        <v>87960.666666666672</v>
      </c>
      <c r="W217" s="49">
        <f t="shared" si="109"/>
        <v>87960.666666666672</v>
      </c>
      <c r="X217" s="49">
        <f t="shared" si="109"/>
        <v>87960.666666666672</v>
      </c>
      <c r="Y217" s="49">
        <f t="shared" si="109"/>
        <v>87960.666666666672</v>
      </c>
      <c r="Z217" s="49">
        <f>+AVERAGE($L$217:$N$217)</f>
        <v>87960.666666666672</v>
      </c>
      <c r="AA217" s="49">
        <f>+AVERAGE($L$217:$N$217)</f>
        <v>87960.666666666672</v>
      </c>
      <c r="AB217" s="26"/>
    </row>
    <row r="218" spans="2:28" x14ac:dyDescent="0.3">
      <c r="B218" s="76" t="s">
        <v>108</v>
      </c>
      <c r="C218" s="108">
        <v>2010</v>
      </c>
      <c r="D218" s="426">
        <v>23</v>
      </c>
      <c r="E218" s="207"/>
      <c r="F218" s="399">
        <f>+OM_EF_2017!G48</f>
        <v>0.59170905062512091</v>
      </c>
      <c r="G218" s="53">
        <v>123773.2823375</v>
      </c>
      <c r="H218" s="53">
        <v>193364</v>
      </c>
      <c r="I218" s="53">
        <v>193432</v>
      </c>
      <c r="J218" s="53">
        <v>175773</v>
      </c>
      <c r="K218" s="53">
        <v>165138</v>
      </c>
      <c r="L218" s="53">
        <v>85293</v>
      </c>
      <c r="M218" s="53">
        <v>168623</v>
      </c>
      <c r="N218" s="53">
        <v>52744</v>
      </c>
      <c r="O218" s="49">
        <f>+AVERAGE($L$218:$N$218)</f>
        <v>102220</v>
      </c>
      <c r="P218" s="49">
        <f t="shared" ref="P218:Y218" si="110">+AVERAGE($L$218:$N$218)</f>
        <v>102220</v>
      </c>
      <c r="Q218" s="49">
        <f t="shared" si="110"/>
        <v>102220</v>
      </c>
      <c r="R218" s="49">
        <f t="shared" si="110"/>
        <v>102220</v>
      </c>
      <c r="S218" s="49">
        <f t="shared" si="110"/>
        <v>102220</v>
      </c>
      <c r="T218" s="49">
        <f t="shared" si="110"/>
        <v>102220</v>
      </c>
      <c r="U218" s="49">
        <f t="shared" si="110"/>
        <v>102220</v>
      </c>
      <c r="V218" s="49">
        <f t="shared" si="110"/>
        <v>102220</v>
      </c>
      <c r="W218" s="49">
        <f t="shared" si="110"/>
        <v>102220</v>
      </c>
      <c r="X218" s="49">
        <f t="shared" si="110"/>
        <v>102220</v>
      </c>
      <c r="Y218" s="49">
        <f t="shared" si="110"/>
        <v>102220</v>
      </c>
      <c r="Z218" s="49">
        <f>+AVERAGE($L$218:$N$218)</f>
        <v>102220</v>
      </c>
      <c r="AA218" s="49">
        <f>+AVERAGE($L$218:$N$218)</f>
        <v>102220</v>
      </c>
      <c r="AB218" s="26"/>
    </row>
    <row r="219" spans="2:28" x14ac:dyDescent="0.3">
      <c r="B219" s="76" t="s">
        <v>109</v>
      </c>
      <c r="C219" s="108">
        <v>2010</v>
      </c>
      <c r="D219" s="426">
        <v>25</v>
      </c>
      <c r="E219" s="207"/>
      <c r="F219" s="399">
        <f>+OM_EF_2017!G49</f>
        <v>0.59176823928678191</v>
      </c>
      <c r="G219" s="53">
        <v>109541.1267625</v>
      </c>
      <c r="H219" s="53">
        <v>170825</v>
      </c>
      <c r="I219" s="53">
        <v>196674</v>
      </c>
      <c r="J219" s="53">
        <v>195325</v>
      </c>
      <c r="K219" s="53">
        <v>173443</v>
      </c>
      <c r="L219" s="53">
        <v>74301</v>
      </c>
      <c r="M219" s="53">
        <v>182321</v>
      </c>
      <c r="N219" s="53">
        <v>60409</v>
      </c>
      <c r="O219" s="49">
        <f>+AVERAGE($L$219:$N$219)</f>
        <v>105677</v>
      </c>
      <c r="P219" s="49">
        <f t="shared" ref="P219:Y219" si="111">+AVERAGE($L$219:$N$219)</f>
        <v>105677</v>
      </c>
      <c r="Q219" s="49">
        <f t="shared" si="111"/>
        <v>105677</v>
      </c>
      <c r="R219" s="49">
        <f t="shared" si="111"/>
        <v>105677</v>
      </c>
      <c r="S219" s="49">
        <f t="shared" si="111"/>
        <v>105677</v>
      </c>
      <c r="T219" s="49">
        <f t="shared" si="111"/>
        <v>105677</v>
      </c>
      <c r="U219" s="49">
        <f t="shared" si="111"/>
        <v>105677</v>
      </c>
      <c r="V219" s="49">
        <f t="shared" si="111"/>
        <v>105677</v>
      </c>
      <c r="W219" s="49">
        <f t="shared" si="111"/>
        <v>105677</v>
      </c>
      <c r="X219" s="49">
        <f t="shared" si="111"/>
        <v>105677</v>
      </c>
      <c r="Y219" s="49">
        <f t="shared" si="111"/>
        <v>105677</v>
      </c>
      <c r="Z219" s="49">
        <f>+AVERAGE($L$219:$N$219)</f>
        <v>105677</v>
      </c>
      <c r="AA219" s="49">
        <f>+AVERAGE($L$219:$N$219)</f>
        <v>105677</v>
      </c>
      <c r="AB219" s="26"/>
    </row>
    <row r="220" spans="2:28" x14ac:dyDescent="0.3">
      <c r="B220" s="76" t="s">
        <v>110</v>
      </c>
      <c r="C220" s="108">
        <v>2010</v>
      </c>
      <c r="D220" s="426">
        <v>25</v>
      </c>
      <c r="E220" s="207"/>
      <c r="F220" s="399">
        <f>+OM_EF_2017!G50</f>
        <v>0.59703603017461182</v>
      </c>
      <c r="G220" s="53">
        <v>77401.001000000004</v>
      </c>
      <c r="H220" s="53">
        <v>187411</v>
      </c>
      <c r="I220" s="53">
        <v>183871</v>
      </c>
      <c r="J220" s="53">
        <v>186743</v>
      </c>
      <c r="K220" s="53">
        <v>193663</v>
      </c>
      <c r="L220" s="53">
        <v>89367</v>
      </c>
      <c r="M220" s="53">
        <v>182872</v>
      </c>
      <c r="N220" s="53">
        <v>46175</v>
      </c>
      <c r="O220" s="49">
        <f>+AVERAGE($L$220:$N$220)</f>
        <v>106138</v>
      </c>
      <c r="P220" s="49">
        <f t="shared" ref="P220:Y220" si="112">+AVERAGE($L$220:$N$220)</f>
        <v>106138</v>
      </c>
      <c r="Q220" s="49">
        <f t="shared" si="112"/>
        <v>106138</v>
      </c>
      <c r="R220" s="49">
        <f t="shared" si="112"/>
        <v>106138</v>
      </c>
      <c r="S220" s="49">
        <f t="shared" si="112"/>
        <v>106138</v>
      </c>
      <c r="T220" s="49">
        <f t="shared" si="112"/>
        <v>106138</v>
      </c>
      <c r="U220" s="49">
        <f t="shared" si="112"/>
        <v>106138</v>
      </c>
      <c r="V220" s="49">
        <f t="shared" si="112"/>
        <v>106138</v>
      </c>
      <c r="W220" s="49">
        <f t="shared" si="112"/>
        <v>106138</v>
      </c>
      <c r="X220" s="49">
        <f t="shared" si="112"/>
        <v>106138</v>
      </c>
      <c r="Y220" s="49">
        <f t="shared" si="112"/>
        <v>106138</v>
      </c>
      <c r="Z220" s="49">
        <f>+AVERAGE($L$220:$N$220)</f>
        <v>106138</v>
      </c>
      <c r="AA220" s="49">
        <f>+AVERAGE($L$220:$N$220)</f>
        <v>106138</v>
      </c>
      <c r="AB220" s="26"/>
    </row>
    <row r="221" spans="2:28" x14ac:dyDescent="0.3">
      <c r="B221" s="77" t="s">
        <v>16</v>
      </c>
      <c r="C221" s="421"/>
      <c r="D221" s="425"/>
      <c r="E221" s="75"/>
      <c r="F221" s="398"/>
      <c r="G221" s="61"/>
      <c r="H221" s="61"/>
      <c r="I221" s="61"/>
      <c r="J221" s="61"/>
      <c r="K221" s="61"/>
      <c r="L221" s="61"/>
      <c r="M221" s="61"/>
      <c r="N221" s="61"/>
      <c r="O221" s="61"/>
      <c r="P221" s="61"/>
      <c r="Q221" s="61"/>
      <c r="R221" s="61"/>
      <c r="S221" s="61"/>
      <c r="T221" s="61"/>
      <c r="U221" s="61"/>
      <c r="V221" s="61"/>
      <c r="W221" s="61"/>
      <c r="X221" s="61"/>
      <c r="Y221" s="61"/>
      <c r="Z221" s="61"/>
      <c r="AA221" s="61"/>
      <c r="AB221" s="26"/>
    </row>
    <row r="222" spans="2:28" x14ac:dyDescent="0.3">
      <c r="B222" s="76" t="s">
        <v>78</v>
      </c>
      <c r="C222" s="108">
        <v>1975</v>
      </c>
      <c r="D222" s="426">
        <v>22</v>
      </c>
      <c r="E222" s="207"/>
      <c r="F222" s="399">
        <f>+OM_EF_2017!G52</f>
        <v>0.70854746874395536</v>
      </c>
      <c r="G222" s="49">
        <v>54977.579999999987</v>
      </c>
      <c r="H222" s="49">
        <v>31424.37</v>
      </c>
      <c r="I222" s="49">
        <v>44186.280000000006</v>
      </c>
      <c r="J222" s="49">
        <v>6585.9599999999991</v>
      </c>
      <c r="K222" s="49">
        <v>15638.4</v>
      </c>
      <c r="L222" s="49">
        <v>14091.300000000003</v>
      </c>
      <c r="M222" s="49">
        <v>42919.199999999997</v>
      </c>
      <c r="N222" s="49">
        <v>41459.700000000004</v>
      </c>
      <c r="O222" s="49">
        <f>+AVERAGE($L$222:$N$222)</f>
        <v>32823.4</v>
      </c>
      <c r="P222" s="49">
        <f t="shared" ref="P222:AA222" si="113">+AVERAGE($L$222:$N$222)</f>
        <v>32823.4</v>
      </c>
      <c r="Q222" s="49">
        <f t="shared" si="113"/>
        <v>32823.4</v>
      </c>
      <c r="R222" s="49">
        <f t="shared" si="113"/>
        <v>32823.4</v>
      </c>
      <c r="S222" s="49">
        <f t="shared" si="113"/>
        <v>32823.4</v>
      </c>
      <c r="T222" s="49">
        <f t="shared" si="113"/>
        <v>32823.4</v>
      </c>
      <c r="U222" s="49">
        <f t="shared" si="113"/>
        <v>32823.4</v>
      </c>
      <c r="V222" s="49">
        <f t="shared" si="113"/>
        <v>32823.4</v>
      </c>
      <c r="W222" s="49">
        <f t="shared" si="113"/>
        <v>32823.4</v>
      </c>
      <c r="X222" s="49">
        <f t="shared" si="113"/>
        <v>32823.4</v>
      </c>
      <c r="Y222" s="49">
        <f t="shared" si="113"/>
        <v>32823.4</v>
      </c>
      <c r="Z222" s="49">
        <f t="shared" si="113"/>
        <v>32823.4</v>
      </c>
      <c r="AA222" s="49">
        <f t="shared" si="113"/>
        <v>32823.4</v>
      </c>
      <c r="AB222" s="26"/>
    </row>
    <row r="223" spans="2:28" x14ac:dyDescent="0.3">
      <c r="B223" s="76" t="s">
        <v>79</v>
      </c>
      <c r="C223" s="108">
        <v>1977</v>
      </c>
      <c r="D223" s="426">
        <v>20</v>
      </c>
      <c r="E223" s="207"/>
      <c r="F223" s="399">
        <f>+OM_EF_2017!G53</f>
        <v>0.74548119362042586</v>
      </c>
      <c r="G223" s="49">
        <v>44343.569999999992</v>
      </c>
      <c r="H223" s="49">
        <v>38362.5</v>
      </c>
      <c r="I223" s="49">
        <v>31007.909999999996</v>
      </c>
      <c r="J223" s="49">
        <v>4921.4399999999996</v>
      </c>
      <c r="K223" s="49">
        <v>14575.08</v>
      </c>
      <c r="L223" s="49">
        <v>10209.6</v>
      </c>
      <c r="M223" s="49">
        <v>28229.760000000002</v>
      </c>
      <c r="N223" s="49">
        <v>20603.039999999997</v>
      </c>
      <c r="O223" s="49">
        <f>+AVERAGE($L$223:$N$223)</f>
        <v>19680.8</v>
      </c>
      <c r="P223" s="49">
        <f t="shared" ref="P223:AA223" si="114">+AVERAGE($L$223:$N$223)</f>
        <v>19680.8</v>
      </c>
      <c r="Q223" s="49">
        <f t="shared" si="114"/>
        <v>19680.8</v>
      </c>
      <c r="R223" s="49">
        <f t="shared" si="114"/>
        <v>19680.8</v>
      </c>
      <c r="S223" s="49">
        <f t="shared" si="114"/>
        <v>19680.8</v>
      </c>
      <c r="T223" s="49">
        <f t="shared" si="114"/>
        <v>19680.8</v>
      </c>
      <c r="U223" s="49">
        <f t="shared" si="114"/>
        <v>19680.8</v>
      </c>
      <c r="V223" s="49">
        <f t="shared" si="114"/>
        <v>19680.8</v>
      </c>
      <c r="W223" s="49">
        <f t="shared" si="114"/>
        <v>19680.8</v>
      </c>
      <c r="X223" s="49">
        <f t="shared" si="114"/>
        <v>19680.8</v>
      </c>
      <c r="Y223" s="49">
        <f t="shared" si="114"/>
        <v>19680.8</v>
      </c>
      <c r="Z223" s="49">
        <f t="shared" si="114"/>
        <v>19680.8</v>
      </c>
      <c r="AA223" s="49">
        <f t="shared" si="114"/>
        <v>19680.8</v>
      </c>
      <c r="AB223" s="26"/>
    </row>
    <row r="224" spans="2:28" x14ac:dyDescent="0.3">
      <c r="B224" s="76" t="s">
        <v>80</v>
      </c>
      <c r="C224" s="108">
        <v>1980</v>
      </c>
      <c r="D224" s="426">
        <v>20</v>
      </c>
      <c r="E224" s="207"/>
      <c r="F224" s="399">
        <f>+OM_EF_2017!G54</f>
        <v>0.75962728375740729</v>
      </c>
      <c r="G224" s="49">
        <v>35434.590000000004</v>
      </c>
      <c r="H224" s="49">
        <v>65185.067999999999</v>
      </c>
      <c r="I224" s="49">
        <v>40516.368000000002</v>
      </c>
      <c r="J224" s="49">
        <v>17730.18</v>
      </c>
      <c r="K224" s="49">
        <v>24451.464</v>
      </c>
      <c r="L224" s="49">
        <v>13814.243999999999</v>
      </c>
      <c r="M224" s="49">
        <v>43634.928000000007</v>
      </c>
      <c r="N224" s="49">
        <v>24144.995999999996</v>
      </c>
      <c r="O224" s="49">
        <f>AVERAGE($L$224:$N$224)</f>
        <v>27198.056</v>
      </c>
      <c r="P224" s="49">
        <f t="shared" ref="P224:AA224" si="115">AVERAGE($L$224:$N$224)</f>
        <v>27198.056</v>
      </c>
      <c r="Q224" s="49">
        <f t="shared" si="115"/>
        <v>27198.056</v>
      </c>
      <c r="R224" s="49">
        <f t="shared" si="115"/>
        <v>27198.056</v>
      </c>
      <c r="S224" s="49">
        <f t="shared" si="115"/>
        <v>27198.056</v>
      </c>
      <c r="T224" s="49">
        <f t="shared" si="115"/>
        <v>27198.056</v>
      </c>
      <c r="U224" s="49">
        <f t="shared" si="115"/>
        <v>27198.056</v>
      </c>
      <c r="V224" s="49">
        <f t="shared" si="115"/>
        <v>27198.056</v>
      </c>
      <c r="W224" s="49">
        <f t="shared" si="115"/>
        <v>27198.056</v>
      </c>
      <c r="X224" s="49">
        <f t="shared" si="115"/>
        <v>27198.056</v>
      </c>
      <c r="Y224" s="49">
        <f t="shared" si="115"/>
        <v>27198.056</v>
      </c>
      <c r="Z224" s="49">
        <f t="shared" si="115"/>
        <v>27198.056</v>
      </c>
      <c r="AA224" s="49">
        <f t="shared" si="115"/>
        <v>27198.056</v>
      </c>
      <c r="AB224" s="26"/>
    </row>
    <row r="225" spans="2:28" x14ac:dyDescent="0.3">
      <c r="B225" s="76" t="s">
        <v>81</v>
      </c>
      <c r="C225" s="108">
        <v>1988</v>
      </c>
      <c r="D225" s="426">
        <v>21</v>
      </c>
      <c r="E225" s="207"/>
      <c r="F225" s="399">
        <f>+OM_EF_2017!G55</f>
        <v>0.74838143804181545</v>
      </c>
      <c r="G225" s="49">
        <v>47583.179999999993</v>
      </c>
      <c r="H225" s="49">
        <v>73021.77</v>
      </c>
      <c r="I225" s="49">
        <v>79926.345000000001</v>
      </c>
      <c r="J225" s="49">
        <v>32721.119999999995</v>
      </c>
      <c r="K225" s="49">
        <v>52400.755703329996</v>
      </c>
      <c r="L225" s="49">
        <v>49910.714999999997</v>
      </c>
      <c r="M225" s="49">
        <v>73438.604999999996</v>
      </c>
      <c r="N225" s="49">
        <v>47740.184999999998</v>
      </c>
      <c r="O225" s="49">
        <f>AVERAGE($L$225:$N$225)</f>
        <v>57029.834999999999</v>
      </c>
      <c r="P225" s="49">
        <f t="shared" ref="P225:AA225" si="116">AVERAGE($L$225:$N$225)</f>
        <v>57029.834999999999</v>
      </c>
      <c r="Q225" s="49">
        <f t="shared" si="116"/>
        <v>57029.834999999999</v>
      </c>
      <c r="R225" s="49">
        <f t="shared" si="116"/>
        <v>57029.834999999999</v>
      </c>
      <c r="S225" s="49">
        <f t="shared" si="116"/>
        <v>57029.834999999999</v>
      </c>
      <c r="T225" s="49">
        <f t="shared" si="116"/>
        <v>57029.834999999999</v>
      </c>
      <c r="U225" s="49">
        <f t="shared" si="116"/>
        <v>57029.834999999999</v>
      </c>
      <c r="V225" s="49">
        <f t="shared" si="116"/>
        <v>57029.834999999999</v>
      </c>
      <c r="W225" s="49">
        <f t="shared" si="116"/>
        <v>57029.834999999999</v>
      </c>
      <c r="X225" s="49">
        <f t="shared" si="116"/>
        <v>57029.834999999999</v>
      </c>
      <c r="Y225" s="49">
        <f t="shared" si="116"/>
        <v>57029.834999999999</v>
      </c>
      <c r="Z225" s="49">
        <f t="shared" si="116"/>
        <v>57029.834999999999</v>
      </c>
      <c r="AA225" s="49">
        <f t="shared" si="116"/>
        <v>57029.834999999999</v>
      </c>
      <c r="AB225" s="26"/>
    </row>
    <row r="226" spans="2:28" x14ac:dyDescent="0.3">
      <c r="B226" s="76" t="s">
        <v>118</v>
      </c>
      <c r="C226" s="108"/>
      <c r="D226" s="426"/>
      <c r="E226" s="207"/>
      <c r="F226" s="399"/>
      <c r="G226" s="49">
        <v>0</v>
      </c>
      <c r="H226" s="49">
        <v>0</v>
      </c>
      <c r="I226" s="49">
        <v>0</v>
      </c>
      <c r="J226" s="49">
        <v>0</v>
      </c>
      <c r="K226" s="49">
        <v>0</v>
      </c>
      <c r="L226" s="49">
        <v>0</v>
      </c>
      <c r="M226" s="49">
        <v>0</v>
      </c>
      <c r="N226" s="49">
        <v>0</v>
      </c>
      <c r="O226" s="49">
        <f t="shared" ref="O226:O243" si="117">+AVERAGE(L226:N226)</f>
        <v>0</v>
      </c>
      <c r="P226" s="49">
        <f t="shared" ref="P226:AA226" si="118">+O226</f>
        <v>0</v>
      </c>
      <c r="Q226" s="49">
        <f t="shared" si="118"/>
        <v>0</v>
      </c>
      <c r="R226" s="49">
        <f t="shared" si="118"/>
        <v>0</v>
      </c>
      <c r="S226" s="49">
        <f t="shared" si="118"/>
        <v>0</v>
      </c>
      <c r="T226" s="49">
        <f t="shared" si="118"/>
        <v>0</v>
      </c>
      <c r="U226" s="49">
        <f t="shared" si="118"/>
        <v>0</v>
      </c>
      <c r="V226" s="49">
        <f t="shared" si="118"/>
        <v>0</v>
      </c>
      <c r="W226" s="49">
        <f t="shared" si="118"/>
        <v>0</v>
      </c>
      <c r="X226" s="49">
        <f t="shared" si="118"/>
        <v>0</v>
      </c>
      <c r="Y226" s="49">
        <f t="shared" si="118"/>
        <v>0</v>
      </c>
      <c r="Z226" s="49">
        <f t="shared" si="118"/>
        <v>0</v>
      </c>
      <c r="AA226" s="49">
        <f t="shared" si="118"/>
        <v>0</v>
      </c>
      <c r="AB226" s="26"/>
    </row>
    <row r="227" spans="2:28" x14ac:dyDescent="0.3">
      <c r="B227" s="76" t="s">
        <v>82</v>
      </c>
      <c r="C227" s="108">
        <v>1999</v>
      </c>
      <c r="D227" s="426">
        <v>63</v>
      </c>
      <c r="E227" s="207"/>
      <c r="F227" s="399">
        <f>+OM_EF_2017!G56</f>
        <v>0.59602982292637463</v>
      </c>
      <c r="G227" s="49">
        <v>0</v>
      </c>
      <c r="H227" s="49">
        <v>0</v>
      </c>
      <c r="I227" s="49">
        <v>345670.74</v>
      </c>
      <c r="J227" s="49">
        <v>479429.598</v>
      </c>
      <c r="K227" s="49">
        <v>420127.47135156026</v>
      </c>
      <c r="L227" s="49">
        <v>459226.69199999992</v>
      </c>
      <c r="M227" s="49">
        <v>240047.45999999993</v>
      </c>
      <c r="N227" s="49">
        <v>381288.42</v>
      </c>
      <c r="O227" s="49">
        <f>+AVERAGE($L$227:$N$227)</f>
        <v>360187.52399999998</v>
      </c>
      <c r="P227" s="49">
        <f t="shared" ref="P227:X227" si="119">+AVERAGE($L$227:$N$227)</f>
        <v>360187.52399999998</v>
      </c>
      <c r="Q227" s="49">
        <f t="shared" si="119"/>
        <v>360187.52399999998</v>
      </c>
      <c r="R227" s="49">
        <f t="shared" si="119"/>
        <v>360187.52399999998</v>
      </c>
      <c r="S227" s="49">
        <f t="shared" si="119"/>
        <v>360187.52399999998</v>
      </c>
      <c r="T227" s="49">
        <f t="shared" si="119"/>
        <v>360187.52399999998</v>
      </c>
      <c r="U227" s="49">
        <f t="shared" si="119"/>
        <v>360187.52399999998</v>
      </c>
      <c r="V227" s="49">
        <f t="shared" si="119"/>
        <v>360187.52399999998</v>
      </c>
      <c r="W227" s="49">
        <f t="shared" si="119"/>
        <v>360187.52399999998</v>
      </c>
      <c r="X227" s="49">
        <f t="shared" si="119"/>
        <v>360187.52399999998</v>
      </c>
      <c r="Y227" s="49">
        <f t="shared" ref="Y227:AA227" si="120">+AVERAGE($L$227:$N$227)</f>
        <v>360187.52399999998</v>
      </c>
      <c r="Z227" s="49">
        <f t="shared" si="120"/>
        <v>360187.52399999998</v>
      </c>
      <c r="AA227" s="49">
        <f t="shared" si="120"/>
        <v>360187.52399999998</v>
      </c>
      <c r="AB227" s="26"/>
    </row>
    <row r="228" spans="2:28" x14ac:dyDescent="0.3">
      <c r="B228" s="76" t="s">
        <v>83</v>
      </c>
      <c r="C228" s="108">
        <v>1999</v>
      </c>
      <c r="D228" s="426">
        <v>63</v>
      </c>
      <c r="E228" s="207"/>
      <c r="F228" s="399">
        <f>+OM_EF_2017!G57</f>
        <v>0.59602982292637463</v>
      </c>
      <c r="G228" s="49">
        <v>304167.35200000001</v>
      </c>
      <c r="H228" s="49">
        <v>362328.33600000001</v>
      </c>
      <c r="I228" s="49">
        <v>425317.902</v>
      </c>
      <c r="J228" s="49">
        <v>461289.34800000006</v>
      </c>
      <c r="K228" s="49">
        <v>412122.105063011</v>
      </c>
      <c r="L228" s="49">
        <v>378806.54399999999</v>
      </c>
      <c r="M228" s="49">
        <v>386168.79599999997</v>
      </c>
      <c r="N228" s="49">
        <v>365210.38799999998</v>
      </c>
      <c r="O228" s="49">
        <f>+AVERAGE($L$228:$N$228)</f>
        <v>376728.57599999994</v>
      </c>
      <c r="P228" s="49">
        <f t="shared" ref="P228:X228" si="121">+AVERAGE($L$228:$N$228)</f>
        <v>376728.57599999994</v>
      </c>
      <c r="Q228" s="49">
        <f t="shared" si="121"/>
        <v>376728.57599999994</v>
      </c>
      <c r="R228" s="49">
        <f t="shared" si="121"/>
        <v>376728.57599999994</v>
      </c>
      <c r="S228" s="49">
        <f t="shared" si="121"/>
        <v>376728.57599999994</v>
      </c>
      <c r="T228" s="49">
        <f t="shared" si="121"/>
        <v>376728.57599999994</v>
      </c>
      <c r="U228" s="49">
        <f t="shared" si="121"/>
        <v>376728.57599999994</v>
      </c>
      <c r="V228" s="49">
        <f t="shared" si="121"/>
        <v>376728.57599999994</v>
      </c>
      <c r="W228" s="49">
        <f t="shared" si="121"/>
        <v>376728.57599999994</v>
      </c>
      <c r="X228" s="49">
        <f t="shared" si="121"/>
        <v>376728.57599999994</v>
      </c>
      <c r="Y228" s="49">
        <f t="shared" ref="Y228:AA228" si="122">+AVERAGE($L$228:$N$228)</f>
        <v>376728.57599999994</v>
      </c>
      <c r="Z228" s="49">
        <f t="shared" si="122"/>
        <v>376728.57599999994</v>
      </c>
      <c r="AA228" s="49">
        <f t="shared" si="122"/>
        <v>376728.57599999994</v>
      </c>
      <c r="AB228" s="26"/>
    </row>
    <row r="229" spans="2:28" x14ac:dyDescent="0.3">
      <c r="B229" s="76" t="s">
        <v>84</v>
      </c>
      <c r="C229" s="108">
        <v>2007</v>
      </c>
      <c r="D229" s="426">
        <v>63</v>
      </c>
      <c r="E229" s="207"/>
      <c r="F229" s="399">
        <f>+OM_EF_2017!G58</f>
        <v>0.59602982292637463</v>
      </c>
      <c r="G229" s="49">
        <v>274064.72799999994</v>
      </c>
      <c r="H229" s="49">
        <v>328187.05200000003</v>
      </c>
      <c r="I229" s="49">
        <v>215762.25825000004</v>
      </c>
      <c r="J229" s="49">
        <v>201328.714125</v>
      </c>
      <c r="K229" s="49">
        <v>301526.55250000005</v>
      </c>
      <c r="L229" s="49">
        <v>234237.29225000003</v>
      </c>
      <c r="M229" s="49">
        <v>299524.30199999997</v>
      </c>
      <c r="N229" s="49">
        <v>149744.47925</v>
      </c>
      <c r="O229" s="49">
        <f>+AVERAGE($L$229:$N$229)</f>
        <v>227835.35783333331</v>
      </c>
      <c r="P229" s="49">
        <f t="shared" ref="P229:X229" si="123">+AVERAGE($L$229:$N$229)</f>
        <v>227835.35783333331</v>
      </c>
      <c r="Q229" s="49">
        <f t="shared" si="123"/>
        <v>227835.35783333331</v>
      </c>
      <c r="R229" s="49">
        <f t="shared" si="123"/>
        <v>227835.35783333331</v>
      </c>
      <c r="S229" s="49">
        <f t="shared" si="123"/>
        <v>227835.35783333331</v>
      </c>
      <c r="T229" s="49">
        <f t="shared" si="123"/>
        <v>227835.35783333331</v>
      </c>
      <c r="U229" s="49">
        <f t="shared" si="123"/>
        <v>227835.35783333331</v>
      </c>
      <c r="V229" s="49">
        <f t="shared" si="123"/>
        <v>227835.35783333331</v>
      </c>
      <c r="W229" s="49">
        <f t="shared" si="123"/>
        <v>227835.35783333331</v>
      </c>
      <c r="X229" s="49">
        <f t="shared" si="123"/>
        <v>227835.35783333331</v>
      </c>
      <c r="Y229" s="49">
        <f>+AVERAGE($L$229:$N$229)</f>
        <v>227835.35783333331</v>
      </c>
      <c r="Z229" s="49">
        <f>+AVERAGE($L$229:$N$229)</f>
        <v>227835.35783333331</v>
      </c>
      <c r="AA229" s="49">
        <f>+AVERAGE($L$229:$N$229)</f>
        <v>227835.35783333331</v>
      </c>
      <c r="AB229" s="26"/>
    </row>
    <row r="230" spans="2:28" x14ac:dyDescent="0.3">
      <c r="B230" s="76" t="s">
        <v>314</v>
      </c>
      <c r="C230" s="108">
        <v>2012</v>
      </c>
      <c r="D230" s="426">
        <v>96</v>
      </c>
      <c r="E230" s="207"/>
      <c r="F230" s="399">
        <f>+OM_EF_2017!G59</f>
        <v>0.426809439237546</v>
      </c>
      <c r="G230" s="49">
        <v>386364.63308200007</v>
      </c>
      <c r="H230" s="49">
        <v>362853.24075</v>
      </c>
      <c r="I230" s="49">
        <v>369449.51400000002</v>
      </c>
      <c r="J230" s="49">
        <v>616226.28899999999</v>
      </c>
      <c r="K230" s="49">
        <v>523552.59600000002</v>
      </c>
      <c r="L230" s="49">
        <v>544179.25994216464</v>
      </c>
      <c r="M230" s="49">
        <v>222713.652</v>
      </c>
      <c r="N230" s="49">
        <v>361213.69200000004</v>
      </c>
      <c r="O230" s="49">
        <f t="shared" ref="O230:AA230" si="124">+AVERAGE($L$230:$N$230)</f>
        <v>376035.53464738821</v>
      </c>
      <c r="P230" s="49">
        <f t="shared" si="124"/>
        <v>376035.53464738821</v>
      </c>
      <c r="Q230" s="49">
        <f t="shared" si="124"/>
        <v>376035.53464738821</v>
      </c>
      <c r="R230" s="49">
        <f t="shared" si="124"/>
        <v>376035.53464738821</v>
      </c>
      <c r="S230" s="49">
        <f t="shared" si="124"/>
        <v>376035.53464738821</v>
      </c>
      <c r="T230" s="49">
        <f t="shared" si="124"/>
        <v>376035.53464738821</v>
      </c>
      <c r="U230" s="49">
        <f t="shared" si="124"/>
        <v>376035.53464738821</v>
      </c>
      <c r="V230" s="49">
        <f t="shared" si="124"/>
        <v>376035.53464738821</v>
      </c>
      <c r="W230" s="49">
        <f t="shared" si="124"/>
        <v>376035.53464738821</v>
      </c>
      <c r="X230" s="49">
        <f t="shared" si="124"/>
        <v>376035.53464738821</v>
      </c>
      <c r="Y230" s="49">
        <f t="shared" si="124"/>
        <v>376035.53464738821</v>
      </c>
      <c r="Z230" s="49">
        <f t="shared" si="124"/>
        <v>376035.53464738821</v>
      </c>
      <c r="AA230" s="49">
        <f t="shared" si="124"/>
        <v>376035.53464738821</v>
      </c>
      <c r="AB230" s="26"/>
    </row>
    <row r="231" spans="2:28" x14ac:dyDescent="0.3">
      <c r="B231" s="77" t="s">
        <v>21</v>
      </c>
      <c r="C231" s="421"/>
      <c r="D231" s="425"/>
      <c r="E231" s="75"/>
      <c r="F231" s="398"/>
      <c r="G231" s="61"/>
      <c r="H231" s="61"/>
      <c r="I231" s="61"/>
      <c r="J231" s="61"/>
      <c r="K231" s="61"/>
      <c r="L231" s="61"/>
      <c r="M231" s="61"/>
      <c r="N231" s="61"/>
      <c r="O231" s="61"/>
      <c r="P231" s="61"/>
      <c r="Q231" s="61"/>
      <c r="R231" s="61"/>
      <c r="S231" s="61"/>
      <c r="T231" s="61"/>
      <c r="U231" s="61"/>
      <c r="V231" s="61"/>
      <c r="W231" s="61"/>
      <c r="X231" s="61"/>
      <c r="Y231" s="61"/>
      <c r="Z231" s="61"/>
      <c r="AA231" s="61"/>
      <c r="AB231" s="26"/>
    </row>
    <row r="232" spans="2:28" x14ac:dyDescent="0.3">
      <c r="B232" s="76" t="s">
        <v>100</v>
      </c>
      <c r="C232" s="108">
        <v>1982</v>
      </c>
      <c r="D232" s="426">
        <v>14</v>
      </c>
      <c r="E232" s="207"/>
      <c r="F232" s="399">
        <f>+OM_EF_2017!G61</f>
        <v>0.70197752729958329</v>
      </c>
      <c r="G232" s="49">
        <v>80691.735044999994</v>
      </c>
      <c r="H232" s="49">
        <v>79540.577999999994</v>
      </c>
      <c r="I232" s="49">
        <v>60267.497718999999</v>
      </c>
      <c r="J232" s="49">
        <v>84986.583595136995</v>
      </c>
      <c r="K232" s="49">
        <v>61003.532321999912</v>
      </c>
      <c r="L232" s="49">
        <v>79662.397554113864</v>
      </c>
      <c r="M232" s="49">
        <v>76545.155212149999</v>
      </c>
      <c r="N232" s="49">
        <v>41016.303</v>
      </c>
      <c r="O232" s="49">
        <f>+AVERAGE($L$232:$N$232)</f>
        <v>65741.285255421288</v>
      </c>
      <c r="P232" s="49">
        <f t="shared" ref="P232:Z232" si="125">+AVERAGE($L$232:$N$232)</f>
        <v>65741.285255421288</v>
      </c>
      <c r="Q232" s="49">
        <f t="shared" si="125"/>
        <v>65741.285255421288</v>
      </c>
      <c r="R232" s="49">
        <f t="shared" si="125"/>
        <v>65741.285255421288</v>
      </c>
      <c r="S232" s="49">
        <f t="shared" si="125"/>
        <v>65741.285255421288</v>
      </c>
      <c r="T232" s="49">
        <f t="shared" si="125"/>
        <v>65741.285255421288</v>
      </c>
      <c r="U232" s="49">
        <f t="shared" si="125"/>
        <v>65741.285255421288</v>
      </c>
      <c r="V232" s="49">
        <f t="shared" si="125"/>
        <v>65741.285255421288</v>
      </c>
      <c r="W232" s="49">
        <f t="shared" si="125"/>
        <v>65741.285255421288</v>
      </c>
      <c r="X232" s="49">
        <f t="shared" si="125"/>
        <v>65741.285255421288</v>
      </c>
      <c r="Y232" s="49">
        <f t="shared" si="125"/>
        <v>65741.285255421288</v>
      </c>
      <c r="Z232" s="49">
        <f t="shared" si="125"/>
        <v>65741.285255421288</v>
      </c>
      <c r="AA232" s="49">
        <f>+AVERAGE($L$232:$N$232)</f>
        <v>65741.285255421288</v>
      </c>
      <c r="AB232" s="26"/>
    </row>
    <row r="233" spans="2:28" x14ac:dyDescent="0.3">
      <c r="B233" s="77" t="s">
        <v>22</v>
      </c>
      <c r="C233" s="421"/>
      <c r="D233" s="425"/>
      <c r="E233" s="75"/>
      <c r="F233" s="398"/>
      <c r="G233" s="61"/>
      <c r="H233" s="61"/>
      <c r="I233" s="61"/>
      <c r="J233" s="61"/>
      <c r="K233" s="61"/>
      <c r="L233" s="61"/>
      <c r="M233" s="61"/>
      <c r="N233" s="61"/>
      <c r="O233" s="61"/>
      <c r="P233" s="61"/>
      <c r="Q233" s="61"/>
      <c r="R233" s="61"/>
      <c r="S233" s="61"/>
      <c r="T233" s="61"/>
      <c r="U233" s="61"/>
      <c r="V233" s="61"/>
      <c r="W233" s="61"/>
      <c r="X233" s="61"/>
      <c r="Y233" s="61"/>
      <c r="Z233" s="61"/>
      <c r="AA233" s="61"/>
      <c r="AB233" s="26"/>
    </row>
    <row r="234" spans="2:28" x14ac:dyDescent="0.3">
      <c r="B234" s="76" t="s">
        <v>111</v>
      </c>
      <c r="C234" s="108">
        <v>1995</v>
      </c>
      <c r="D234" s="426">
        <v>9</v>
      </c>
      <c r="E234" s="207"/>
      <c r="F234" s="399">
        <f>+OM_EF_2017!G63</f>
        <v>0.71464390089503949</v>
      </c>
      <c r="G234" s="49">
        <v>46977.265625</v>
      </c>
      <c r="H234" s="49">
        <v>50444.303124999999</v>
      </c>
      <c r="I234" s="49">
        <v>50792.947500000002</v>
      </c>
      <c r="J234" s="49">
        <v>25340.758313000002</v>
      </c>
      <c r="K234" s="49">
        <v>43520.745187</v>
      </c>
      <c r="L234" s="49">
        <v>0</v>
      </c>
      <c r="M234" s="49">
        <v>1793.82</v>
      </c>
      <c r="N234" s="49">
        <v>18.810000000000002</v>
      </c>
      <c r="O234" s="49">
        <f>+AVERAGE($L$234:$N$234)</f>
        <v>604.20999999999992</v>
      </c>
      <c r="P234" s="49">
        <f t="shared" ref="P234:Q234" si="126">+AVERAGE($L$234:$N$234)</f>
        <v>604.20999999999992</v>
      </c>
      <c r="Q234" s="49">
        <f t="shared" si="126"/>
        <v>604.20999999999992</v>
      </c>
      <c r="R234" s="49">
        <v>0</v>
      </c>
      <c r="S234" s="49">
        <v>0</v>
      </c>
      <c r="T234" s="49">
        <v>0</v>
      </c>
      <c r="U234" s="49">
        <v>0</v>
      </c>
      <c r="V234" s="49">
        <v>0</v>
      </c>
      <c r="W234" s="49">
        <v>0</v>
      </c>
      <c r="X234" s="49">
        <v>0</v>
      </c>
      <c r="Y234" s="49">
        <v>0</v>
      </c>
      <c r="Z234" s="49">
        <v>0</v>
      </c>
      <c r="AA234" s="49">
        <v>0</v>
      </c>
      <c r="AB234" s="26"/>
    </row>
    <row r="235" spans="2:28" x14ac:dyDescent="0.3">
      <c r="B235" s="76" t="s">
        <v>112</v>
      </c>
      <c r="C235" s="108">
        <v>1995</v>
      </c>
      <c r="D235" s="426">
        <v>9</v>
      </c>
      <c r="E235" s="207"/>
      <c r="F235" s="399">
        <f>+OM_EF_2017!G64</f>
        <v>0.7091985440222266</v>
      </c>
      <c r="G235" s="49">
        <v>47451.323000000004</v>
      </c>
      <c r="H235" s="49">
        <v>50578.209750000002</v>
      </c>
      <c r="I235" s="49">
        <v>52201.957000000002</v>
      </c>
      <c r="J235" s="49">
        <v>20555.564869999998</v>
      </c>
      <c r="K235" s="49">
        <v>46932.179499999998</v>
      </c>
      <c r="L235" s="49">
        <v>29966.794000000005</v>
      </c>
      <c r="M235" s="49">
        <v>14728.669187500001</v>
      </c>
      <c r="N235" s="49">
        <v>14455.24559</v>
      </c>
      <c r="O235" s="49">
        <f>+AVERAGE($L$235:$N$235)</f>
        <v>19716.902925833336</v>
      </c>
      <c r="P235" s="49">
        <f t="shared" ref="P235:Q235" si="127">+AVERAGE($L$235:$N$235)</f>
        <v>19716.902925833336</v>
      </c>
      <c r="Q235" s="49">
        <f t="shared" si="127"/>
        <v>19716.902925833336</v>
      </c>
      <c r="R235" s="49">
        <v>0</v>
      </c>
      <c r="S235" s="49">
        <v>0</v>
      </c>
      <c r="T235" s="49">
        <v>0</v>
      </c>
      <c r="U235" s="49">
        <v>0</v>
      </c>
      <c r="V235" s="49">
        <v>0</v>
      </c>
      <c r="W235" s="49">
        <v>0</v>
      </c>
      <c r="X235" s="49">
        <v>0</v>
      </c>
      <c r="Y235" s="49">
        <v>0</v>
      </c>
      <c r="Z235" s="49">
        <v>0</v>
      </c>
      <c r="AA235" s="49">
        <v>0</v>
      </c>
      <c r="AB235" s="26"/>
    </row>
    <row r="236" spans="2:28" x14ac:dyDescent="0.3">
      <c r="B236" s="77" t="s">
        <v>17</v>
      </c>
      <c r="C236" s="421"/>
      <c r="D236" s="425"/>
      <c r="E236" s="75"/>
      <c r="F236" s="398"/>
      <c r="G236" s="61"/>
      <c r="H236" s="61"/>
      <c r="I236" s="61"/>
      <c r="J236" s="61"/>
      <c r="K236" s="61"/>
      <c r="L236" s="61"/>
      <c r="M236" s="61"/>
      <c r="N236" s="61"/>
      <c r="O236" s="61"/>
      <c r="P236" s="61"/>
      <c r="Q236" s="61"/>
      <c r="R236" s="61"/>
      <c r="S236" s="61"/>
      <c r="T236" s="61"/>
      <c r="U236" s="61"/>
      <c r="V236" s="61"/>
      <c r="W236" s="61"/>
      <c r="X236" s="61"/>
      <c r="Y236" s="61"/>
      <c r="Z236" s="61"/>
      <c r="AA236" s="61"/>
      <c r="AB236" s="26"/>
    </row>
    <row r="237" spans="2:28" x14ac:dyDescent="0.3">
      <c r="B237" s="76" t="s">
        <v>85</v>
      </c>
      <c r="C237" s="108">
        <v>2009</v>
      </c>
      <c r="D237" s="426">
        <v>22</v>
      </c>
      <c r="E237" s="207"/>
      <c r="F237" s="399">
        <f>+OM_EF_2017!G66</f>
        <v>0.70138564068297304</v>
      </c>
      <c r="G237" s="49">
        <v>73485.584999999992</v>
      </c>
      <c r="H237" s="49">
        <v>82841.692500000005</v>
      </c>
      <c r="I237" s="49">
        <v>69552.787499999991</v>
      </c>
      <c r="J237" s="49">
        <v>23800.942902800001</v>
      </c>
      <c r="K237" s="49">
        <v>44110.71</v>
      </c>
      <c r="L237" s="49">
        <v>44085.419999999991</v>
      </c>
      <c r="M237" s="49">
        <v>76414.35149999999</v>
      </c>
      <c r="N237" s="49">
        <v>77133.690000000017</v>
      </c>
      <c r="O237" s="49">
        <f>+AVERAGE($L$237:$N$237)</f>
        <v>65877.820499999987</v>
      </c>
      <c r="P237" s="49">
        <f t="shared" ref="P237:Z237" si="128">+AVERAGE($L$237:$N$237)</f>
        <v>65877.820499999987</v>
      </c>
      <c r="Q237" s="49">
        <f t="shared" si="128"/>
        <v>65877.820499999987</v>
      </c>
      <c r="R237" s="49">
        <f t="shared" si="128"/>
        <v>65877.820499999987</v>
      </c>
      <c r="S237" s="49">
        <f t="shared" si="128"/>
        <v>65877.820499999987</v>
      </c>
      <c r="T237" s="49">
        <f t="shared" si="128"/>
        <v>65877.820499999987</v>
      </c>
      <c r="U237" s="49">
        <f t="shared" si="128"/>
        <v>65877.820499999987</v>
      </c>
      <c r="V237" s="49">
        <f t="shared" si="128"/>
        <v>65877.820499999987</v>
      </c>
      <c r="W237" s="49">
        <f t="shared" si="128"/>
        <v>65877.820499999987</v>
      </c>
      <c r="X237" s="49">
        <f t="shared" si="128"/>
        <v>65877.820499999987</v>
      </c>
      <c r="Y237" s="49">
        <f t="shared" si="128"/>
        <v>65877.820499999987</v>
      </c>
      <c r="Z237" s="49">
        <f t="shared" si="128"/>
        <v>65877.820499999987</v>
      </c>
      <c r="AA237" s="49">
        <f>+AVERAGE($L$237:$N$237)</f>
        <v>65877.820499999987</v>
      </c>
      <c r="AB237" s="26"/>
    </row>
    <row r="238" spans="2:28" x14ac:dyDescent="0.3">
      <c r="B238" s="76" t="s">
        <v>86</v>
      </c>
      <c r="C238" s="108">
        <v>2009</v>
      </c>
      <c r="D238" s="426">
        <v>22</v>
      </c>
      <c r="E238" s="207"/>
      <c r="F238" s="399">
        <f>+OM_EF_2017!G67</f>
        <v>0.69085005890731344</v>
      </c>
      <c r="G238" s="49">
        <v>86746.319999999992</v>
      </c>
      <c r="H238" s="49">
        <v>105667.14</v>
      </c>
      <c r="I238" s="49">
        <v>63985.62</v>
      </c>
      <c r="J238" s="49">
        <v>16188.9</v>
      </c>
      <c r="K238" s="49">
        <v>29892.711125046593</v>
      </c>
      <c r="L238" s="49">
        <v>35185.5</v>
      </c>
      <c r="M238" s="49">
        <v>69334.630499999999</v>
      </c>
      <c r="N238" s="49">
        <v>64466.459999999992</v>
      </c>
      <c r="O238" s="49">
        <f>+AVERAGE($L$238:$N$238)</f>
        <v>56328.863499999999</v>
      </c>
      <c r="P238" s="49">
        <f t="shared" ref="P238:Z238" si="129">+AVERAGE($L$238:$N$238)</f>
        <v>56328.863499999999</v>
      </c>
      <c r="Q238" s="49">
        <f t="shared" si="129"/>
        <v>56328.863499999999</v>
      </c>
      <c r="R238" s="49">
        <f t="shared" si="129"/>
        <v>56328.863499999999</v>
      </c>
      <c r="S238" s="49">
        <f t="shared" si="129"/>
        <v>56328.863499999999</v>
      </c>
      <c r="T238" s="49">
        <f t="shared" si="129"/>
        <v>56328.863499999999</v>
      </c>
      <c r="U238" s="49">
        <f t="shared" si="129"/>
        <v>56328.863499999999</v>
      </c>
      <c r="V238" s="49">
        <f t="shared" si="129"/>
        <v>56328.863499999999</v>
      </c>
      <c r="W238" s="49">
        <f t="shared" si="129"/>
        <v>56328.863499999999</v>
      </c>
      <c r="X238" s="49">
        <f t="shared" si="129"/>
        <v>56328.863499999999</v>
      </c>
      <c r="Y238" s="49">
        <f t="shared" si="129"/>
        <v>56328.863499999999</v>
      </c>
      <c r="Z238" s="49">
        <f t="shared" si="129"/>
        <v>56328.863499999999</v>
      </c>
      <c r="AA238" s="49">
        <f>+AVERAGE($L$238:$N$238)</f>
        <v>56328.863499999999</v>
      </c>
      <c r="AB238" s="26"/>
    </row>
    <row r="239" spans="2:28" x14ac:dyDescent="0.3">
      <c r="B239" s="77" t="s">
        <v>24</v>
      </c>
      <c r="C239" s="421"/>
      <c r="D239" s="425"/>
      <c r="E239" s="75"/>
      <c r="F239" s="398"/>
      <c r="G239" s="61"/>
      <c r="H239" s="61"/>
      <c r="I239" s="61"/>
      <c r="J239" s="61"/>
      <c r="K239" s="61"/>
      <c r="L239" s="61"/>
      <c r="M239" s="61"/>
      <c r="N239" s="61"/>
      <c r="O239" s="61"/>
      <c r="P239" s="61"/>
      <c r="Q239" s="61"/>
      <c r="R239" s="61"/>
      <c r="S239" s="61"/>
      <c r="T239" s="61"/>
      <c r="U239" s="61"/>
      <c r="V239" s="61"/>
      <c r="W239" s="61"/>
      <c r="X239" s="61"/>
      <c r="Y239" s="61"/>
      <c r="Z239" s="61"/>
      <c r="AA239" s="61"/>
      <c r="AB239" s="26"/>
    </row>
    <row r="240" spans="2:28" x14ac:dyDescent="0.3">
      <c r="B240" s="76" t="s">
        <v>327</v>
      </c>
      <c r="C240" s="108">
        <v>2014</v>
      </c>
      <c r="D240" s="426">
        <v>43.83</v>
      </c>
      <c r="E240" s="207"/>
      <c r="F240" s="399">
        <f>+OM_EF_2017!G69</f>
        <v>0.55329560920712517</v>
      </c>
      <c r="G240" s="49">
        <v>0</v>
      </c>
      <c r="H240" s="49">
        <v>0</v>
      </c>
      <c r="I240" s="49">
        <v>0</v>
      </c>
      <c r="J240" s="49">
        <v>0</v>
      </c>
      <c r="K240" s="49">
        <v>84605.7</v>
      </c>
      <c r="L240" s="49">
        <v>283458</v>
      </c>
      <c r="M240" s="49">
        <v>327520.80560572003</v>
      </c>
      <c r="N240" s="49">
        <v>321801.02243377001</v>
      </c>
      <c r="O240" s="49">
        <f t="shared" si="117"/>
        <v>310926.6093464967</v>
      </c>
      <c r="P240" s="49">
        <f>O240</f>
        <v>310926.6093464967</v>
      </c>
      <c r="Q240" s="49">
        <v>0</v>
      </c>
      <c r="R240" s="49">
        <v>0</v>
      </c>
      <c r="S240" s="49">
        <v>0</v>
      </c>
      <c r="T240" s="49">
        <v>0</v>
      </c>
      <c r="U240" s="49">
        <v>0</v>
      </c>
      <c r="V240" s="49">
        <v>0</v>
      </c>
      <c r="W240" s="49">
        <v>0</v>
      </c>
      <c r="X240" s="49">
        <v>0</v>
      </c>
      <c r="Y240" s="49">
        <v>0</v>
      </c>
      <c r="Z240" s="49">
        <v>0</v>
      </c>
      <c r="AA240" s="49">
        <v>0</v>
      </c>
      <c r="AB240" s="26"/>
    </row>
    <row r="241" spans="2:28" x14ac:dyDescent="0.3">
      <c r="B241" s="76" t="s">
        <v>328</v>
      </c>
      <c r="C241" s="108">
        <v>2014</v>
      </c>
      <c r="D241" s="426">
        <v>43.31</v>
      </c>
      <c r="E241" s="207"/>
      <c r="F241" s="399">
        <f>+OM_EF_2017!G70</f>
        <v>0.55601828764353167</v>
      </c>
      <c r="G241" s="49">
        <v>0</v>
      </c>
      <c r="H241" s="49">
        <v>0</v>
      </c>
      <c r="I241" s="49">
        <v>0</v>
      </c>
      <c r="J241" s="49">
        <v>0</v>
      </c>
      <c r="K241" s="49">
        <v>129537</v>
      </c>
      <c r="L241" s="49">
        <v>256045</v>
      </c>
      <c r="M241" s="49">
        <v>313178.53026025603</v>
      </c>
      <c r="N241" s="49">
        <v>283832.34028472006</v>
      </c>
      <c r="O241" s="49">
        <f t="shared" si="117"/>
        <v>284351.95684832538</v>
      </c>
      <c r="P241" s="49">
        <f t="shared" ref="P241:P243" si="130">O241</f>
        <v>284351.95684832538</v>
      </c>
      <c r="Q241" s="49">
        <v>0</v>
      </c>
      <c r="R241" s="49">
        <v>0</v>
      </c>
      <c r="S241" s="49">
        <v>0</v>
      </c>
      <c r="T241" s="49">
        <v>0</v>
      </c>
      <c r="U241" s="49">
        <v>0</v>
      </c>
      <c r="V241" s="49">
        <v>0</v>
      </c>
      <c r="W241" s="49">
        <v>0</v>
      </c>
      <c r="X241" s="49">
        <v>0</v>
      </c>
      <c r="Y241" s="49">
        <v>0</v>
      </c>
      <c r="Z241" s="49">
        <v>0</v>
      </c>
      <c r="AA241" s="49">
        <v>0</v>
      </c>
      <c r="AB241" s="26"/>
    </row>
    <row r="242" spans="2:28" x14ac:dyDescent="0.3">
      <c r="B242" s="76" t="s">
        <v>329</v>
      </c>
      <c r="C242" s="108">
        <v>2014</v>
      </c>
      <c r="D242" s="426">
        <v>44.16</v>
      </c>
      <c r="E242" s="207"/>
      <c r="F242" s="399">
        <f>+OM_EF_2017!G71</f>
        <v>0.55069130809404065</v>
      </c>
      <c r="G242" s="49">
        <v>0</v>
      </c>
      <c r="H242" s="49">
        <v>0</v>
      </c>
      <c r="I242" s="49">
        <v>0</v>
      </c>
      <c r="J242" s="49">
        <v>0</v>
      </c>
      <c r="K242" s="49">
        <v>108702.3</v>
      </c>
      <c r="L242" s="49">
        <v>285112</v>
      </c>
      <c r="M242" s="49">
        <v>329847.8391620898</v>
      </c>
      <c r="N242" s="49">
        <v>326287.42484508501</v>
      </c>
      <c r="O242" s="49">
        <f t="shared" si="117"/>
        <v>313749.08800239163</v>
      </c>
      <c r="P242" s="49">
        <f t="shared" si="130"/>
        <v>313749.08800239163</v>
      </c>
      <c r="Q242" s="49">
        <v>0</v>
      </c>
      <c r="R242" s="49">
        <v>0</v>
      </c>
      <c r="S242" s="49">
        <v>0</v>
      </c>
      <c r="T242" s="49">
        <v>0</v>
      </c>
      <c r="U242" s="49">
        <v>0</v>
      </c>
      <c r="V242" s="49">
        <v>0</v>
      </c>
      <c r="W242" s="49">
        <v>0</v>
      </c>
      <c r="X242" s="49">
        <v>0</v>
      </c>
      <c r="Y242" s="49">
        <v>0</v>
      </c>
      <c r="Z242" s="49">
        <v>0</v>
      </c>
      <c r="AA242" s="49">
        <v>0</v>
      </c>
      <c r="AB242" s="26"/>
    </row>
    <row r="243" spans="2:28" x14ac:dyDescent="0.3">
      <c r="B243" s="76" t="s">
        <v>330</v>
      </c>
      <c r="C243" s="108">
        <v>2014</v>
      </c>
      <c r="D243" s="426">
        <v>44.06</v>
      </c>
      <c r="E243" s="207"/>
      <c r="F243" s="399">
        <f>+OM_EF_2017!G72</f>
        <v>0.55033617612407471</v>
      </c>
      <c r="G243" s="49">
        <v>0</v>
      </c>
      <c r="H243" s="49">
        <v>0</v>
      </c>
      <c r="I243" s="49">
        <v>0</v>
      </c>
      <c r="J243" s="49">
        <v>0</v>
      </c>
      <c r="K243" s="49">
        <v>73180</v>
      </c>
      <c r="L243" s="49">
        <v>279769</v>
      </c>
      <c r="M243" s="49">
        <v>310140.64298799884</v>
      </c>
      <c r="N243" s="49">
        <v>335050.79283362499</v>
      </c>
      <c r="O243" s="49">
        <f t="shared" si="117"/>
        <v>308320.14527387463</v>
      </c>
      <c r="P243" s="49">
        <f t="shared" si="130"/>
        <v>308320.14527387463</v>
      </c>
      <c r="Q243" s="49"/>
      <c r="R243" s="49"/>
      <c r="S243" s="49"/>
      <c r="T243" s="49"/>
      <c r="U243" s="49"/>
      <c r="V243" s="49"/>
      <c r="W243" s="49"/>
      <c r="X243" s="49"/>
      <c r="Y243" s="49"/>
      <c r="Z243" s="49"/>
      <c r="AA243" s="49"/>
      <c r="AB243" s="26"/>
    </row>
    <row r="244" spans="2:28" x14ac:dyDescent="0.3">
      <c r="B244" s="77" t="s">
        <v>45</v>
      </c>
      <c r="C244" s="421"/>
      <c r="D244" s="425"/>
      <c r="E244" s="75"/>
      <c r="F244" s="398">
        <f>+OM_EF_2017!G73</f>
        <v>0.70147713437403492</v>
      </c>
      <c r="G244" s="44">
        <v>412298.62000000005</v>
      </c>
      <c r="H244" s="44">
        <v>375505.48</v>
      </c>
      <c r="I244" s="44">
        <v>441361.19300000003</v>
      </c>
      <c r="J244" s="44">
        <v>438893.55500000005</v>
      </c>
      <c r="K244" s="44">
        <v>458878.51799999998</v>
      </c>
      <c r="L244" s="44">
        <v>260568.35899999994</v>
      </c>
      <c r="M244" s="44">
        <v>431717.94459999999</v>
      </c>
      <c r="N244" s="44">
        <v>498992.92799999996</v>
      </c>
      <c r="O244" s="44">
        <f>+AVERAGE($L$244:$N$244)</f>
        <v>397093.0772</v>
      </c>
      <c r="P244" s="44">
        <f t="shared" ref="P244:Z244" si="131">+AVERAGE($L$244:$N$244)</f>
        <v>397093.0772</v>
      </c>
      <c r="Q244" s="44">
        <f t="shared" si="131"/>
        <v>397093.0772</v>
      </c>
      <c r="R244" s="44">
        <f t="shared" si="131"/>
        <v>397093.0772</v>
      </c>
      <c r="S244" s="44">
        <f t="shared" si="131"/>
        <v>397093.0772</v>
      </c>
      <c r="T244" s="44">
        <f t="shared" si="131"/>
        <v>397093.0772</v>
      </c>
      <c r="U244" s="44">
        <f t="shared" si="131"/>
        <v>397093.0772</v>
      </c>
      <c r="V244" s="44">
        <f t="shared" si="131"/>
        <v>397093.0772</v>
      </c>
      <c r="W244" s="44">
        <f t="shared" si="131"/>
        <v>397093.0772</v>
      </c>
      <c r="X244" s="44">
        <f t="shared" si="131"/>
        <v>397093.0772</v>
      </c>
      <c r="Y244" s="44">
        <f t="shared" si="131"/>
        <v>397093.0772</v>
      </c>
      <c r="Z244" s="44">
        <f t="shared" si="131"/>
        <v>397093.0772</v>
      </c>
      <c r="AA244" s="44">
        <f t="shared" ref="AA244" si="132">+AVERAGE($L$244:$N$244)</f>
        <v>397093.0772</v>
      </c>
      <c r="AB244" s="26"/>
    </row>
    <row r="245" spans="2:28" x14ac:dyDescent="0.3">
      <c r="B245" s="76" t="s">
        <v>101</v>
      </c>
      <c r="C245" s="108">
        <v>1992</v>
      </c>
      <c r="D245" s="426">
        <v>18.52</v>
      </c>
      <c r="E245" s="207"/>
      <c r="F245" s="399">
        <f>+OM_EF_2017!G74</f>
        <v>0.77217528002954161</v>
      </c>
      <c r="G245" s="111"/>
      <c r="H245" s="111"/>
      <c r="I245" s="111"/>
      <c r="J245" s="111"/>
      <c r="K245" s="111"/>
      <c r="L245" s="111"/>
      <c r="M245" s="111"/>
      <c r="N245" s="111"/>
      <c r="O245" s="111"/>
      <c r="P245" s="111"/>
      <c r="Q245" s="111"/>
      <c r="R245" s="111"/>
      <c r="S245" s="111"/>
      <c r="T245" s="111"/>
      <c r="U245" s="111"/>
      <c r="V245" s="111"/>
      <c r="W245" s="111"/>
      <c r="X245" s="111"/>
      <c r="Y245" s="111"/>
      <c r="Z245" s="111"/>
      <c r="AA245" s="111"/>
      <c r="AB245" s="26"/>
    </row>
    <row r="246" spans="2:28" x14ac:dyDescent="0.3">
      <c r="B246" s="76" t="s">
        <v>102</v>
      </c>
      <c r="C246" s="108">
        <v>1991</v>
      </c>
      <c r="D246" s="426">
        <v>18.809999999999999</v>
      </c>
      <c r="E246" s="207"/>
      <c r="F246" s="399">
        <f>+OM_EF_2017!G75</f>
        <v>0.69576271782517718</v>
      </c>
      <c r="G246" s="269"/>
      <c r="H246" s="269"/>
      <c r="I246" s="269"/>
      <c r="J246" s="269"/>
      <c r="K246" s="269"/>
      <c r="L246" s="269"/>
      <c r="M246" s="269"/>
      <c r="N246" s="269"/>
      <c r="O246" s="269"/>
      <c r="P246" s="269"/>
      <c r="Q246" s="269"/>
      <c r="R246" s="269"/>
      <c r="S246" s="269"/>
      <c r="T246" s="269"/>
      <c r="U246" s="269"/>
      <c r="V246" s="269"/>
      <c r="W246" s="269"/>
      <c r="X246" s="269"/>
      <c r="Y246" s="269"/>
      <c r="Z246" s="269"/>
      <c r="AA246" s="269"/>
      <c r="AB246" s="26"/>
    </row>
    <row r="247" spans="2:28" x14ac:dyDescent="0.3">
      <c r="B247" s="76" t="s">
        <v>103</v>
      </c>
      <c r="C247" s="108">
        <v>1991</v>
      </c>
      <c r="D247" s="426">
        <v>18.32</v>
      </c>
      <c r="E247" s="207"/>
      <c r="F247" s="399">
        <f>+OM_EF_2017!G76</f>
        <v>0.73269644270164769</v>
      </c>
      <c r="G247" s="269"/>
      <c r="H247" s="269"/>
      <c r="I247" s="269"/>
      <c r="J247" s="269"/>
      <c r="K247" s="269"/>
      <c r="L247" s="269"/>
      <c r="M247" s="269"/>
      <c r="N247" s="269"/>
      <c r="O247" s="269"/>
      <c r="P247" s="269"/>
      <c r="Q247" s="269"/>
      <c r="R247" s="269"/>
      <c r="S247" s="269"/>
      <c r="T247" s="269"/>
      <c r="U247" s="269"/>
      <c r="V247" s="269"/>
      <c r="W247" s="269"/>
      <c r="X247" s="269"/>
      <c r="Y247" s="269"/>
      <c r="Z247" s="269"/>
      <c r="AA247" s="269"/>
      <c r="AB247" s="26"/>
    </row>
    <row r="248" spans="2:28" x14ac:dyDescent="0.3">
      <c r="B248" s="76" t="s">
        <v>104</v>
      </c>
      <c r="C248" s="108">
        <v>1992</v>
      </c>
      <c r="D248" s="426">
        <v>18.63</v>
      </c>
      <c r="E248" s="207"/>
      <c r="F248" s="399">
        <f>+OM_EF_2017!G77</f>
        <v>0.77010367687140613</v>
      </c>
      <c r="G248" s="269"/>
      <c r="H248" s="269"/>
      <c r="I248" s="269"/>
      <c r="J248" s="269"/>
      <c r="K248" s="269"/>
      <c r="L248" s="269"/>
      <c r="M248" s="269"/>
      <c r="N248" s="269"/>
      <c r="O248" s="269"/>
      <c r="P248" s="269"/>
      <c r="Q248" s="269"/>
      <c r="R248" s="269"/>
      <c r="S248" s="269"/>
      <c r="T248" s="269"/>
      <c r="U248" s="269"/>
      <c r="V248" s="269"/>
      <c r="W248" s="269"/>
      <c r="X248" s="269"/>
      <c r="Y248" s="269"/>
      <c r="Z248" s="269"/>
      <c r="AA248" s="269"/>
      <c r="AB248" s="26"/>
    </row>
    <row r="249" spans="2:28" x14ac:dyDescent="0.3">
      <c r="B249" s="76" t="s">
        <v>319</v>
      </c>
      <c r="C249" s="108">
        <v>2012</v>
      </c>
      <c r="D249" s="426">
        <v>10.58</v>
      </c>
      <c r="E249" s="207"/>
      <c r="F249" s="399">
        <f>+OM_EF_2017!G78</f>
        <v>0.62592009706518492</v>
      </c>
      <c r="G249" s="269"/>
      <c r="H249" s="269"/>
      <c r="I249" s="269"/>
      <c r="J249" s="269"/>
      <c r="K249" s="269"/>
      <c r="L249" s="269"/>
      <c r="M249" s="269"/>
      <c r="N249" s="269"/>
      <c r="O249" s="269"/>
      <c r="P249" s="269"/>
      <c r="Q249" s="269"/>
      <c r="R249" s="269"/>
      <c r="S249" s="269"/>
      <c r="T249" s="269"/>
      <c r="U249" s="269"/>
      <c r="V249" s="269"/>
      <c r="W249" s="269"/>
      <c r="X249" s="269"/>
      <c r="Y249" s="269"/>
      <c r="Z249" s="269"/>
      <c r="AA249" s="269"/>
      <c r="AB249" s="26"/>
    </row>
    <row r="250" spans="2:28" x14ac:dyDescent="0.3">
      <c r="B250" s="76" t="s">
        <v>320</v>
      </c>
      <c r="C250" s="108">
        <v>2012</v>
      </c>
      <c r="D250" s="426">
        <v>10.58</v>
      </c>
      <c r="E250" s="207"/>
      <c r="F250" s="399">
        <f>+OM_EF_2017!G79</f>
        <v>0.6288795301482355</v>
      </c>
      <c r="G250" s="269"/>
      <c r="H250" s="269"/>
      <c r="I250" s="269"/>
      <c r="J250" s="269"/>
      <c r="K250" s="269"/>
      <c r="L250" s="269"/>
      <c r="M250" s="269"/>
      <c r="N250" s="269"/>
      <c r="O250" s="269"/>
      <c r="P250" s="269"/>
      <c r="Q250" s="269"/>
      <c r="R250" s="269"/>
      <c r="S250" s="269"/>
      <c r="T250" s="269"/>
      <c r="U250" s="269"/>
      <c r="V250" s="269"/>
      <c r="W250" s="269"/>
      <c r="X250" s="269"/>
      <c r="Y250" s="269"/>
      <c r="Z250" s="269"/>
      <c r="AA250" s="269"/>
      <c r="AB250" s="26"/>
    </row>
    <row r="251" spans="2:28" x14ac:dyDescent="0.3">
      <c r="B251" s="76" t="s">
        <v>321</v>
      </c>
      <c r="C251" s="108">
        <v>2012</v>
      </c>
      <c r="D251" s="426">
        <v>10.58</v>
      </c>
      <c r="E251" s="207"/>
      <c r="F251" s="399">
        <f>+OM_EF_2017!G80</f>
        <v>0.63106951062969285</v>
      </c>
      <c r="G251" s="269"/>
      <c r="H251" s="269"/>
      <c r="I251" s="269"/>
      <c r="J251" s="269"/>
      <c r="K251" s="269"/>
      <c r="L251" s="269"/>
      <c r="M251" s="269"/>
      <c r="N251" s="269"/>
      <c r="O251" s="269"/>
      <c r="P251" s="269"/>
      <c r="Q251" s="269"/>
      <c r="R251" s="269"/>
      <c r="S251" s="269"/>
      <c r="T251" s="269"/>
      <c r="U251" s="269"/>
      <c r="V251" s="269"/>
      <c r="W251" s="269"/>
      <c r="X251" s="269"/>
      <c r="Y251" s="269"/>
      <c r="Z251" s="269"/>
      <c r="AA251" s="269"/>
      <c r="AB251" s="26"/>
    </row>
    <row r="252" spans="2:28" x14ac:dyDescent="0.3">
      <c r="B252" s="76" t="s">
        <v>322</v>
      </c>
      <c r="C252" s="108">
        <v>2012</v>
      </c>
      <c r="D252" s="426">
        <v>10.58</v>
      </c>
      <c r="E252" s="207"/>
      <c r="F252" s="399">
        <f>+OM_EF_2017!G81</f>
        <v>0.6315430199229809</v>
      </c>
      <c r="G252" s="53"/>
      <c r="H252" s="53"/>
      <c r="I252" s="53"/>
      <c r="J252" s="53"/>
      <c r="K252" s="53"/>
      <c r="L252" s="53"/>
      <c r="M252" s="53"/>
      <c r="N252" s="53"/>
      <c r="O252" s="53"/>
      <c r="P252" s="53"/>
      <c r="Q252" s="53"/>
      <c r="R252" s="53"/>
      <c r="S252" s="53"/>
      <c r="T252" s="53"/>
      <c r="U252" s="53"/>
      <c r="V252" s="53"/>
      <c r="W252" s="53"/>
      <c r="X252" s="53"/>
      <c r="Y252" s="53"/>
      <c r="Z252" s="53"/>
      <c r="AA252" s="53"/>
      <c r="AB252" s="26"/>
    </row>
    <row r="253" spans="2:28" x14ac:dyDescent="0.3">
      <c r="B253" s="77" t="s">
        <v>25</v>
      </c>
      <c r="C253" s="421"/>
      <c r="D253" s="425"/>
      <c r="E253" s="75"/>
      <c r="F253" s="398"/>
      <c r="G253" s="379"/>
      <c r="H253" s="379"/>
      <c r="I253" s="379"/>
      <c r="J253" s="379"/>
      <c r="K253" s="379"/>
      <c r="L253" s="61"/>
      <c r="M253" s="61"/>
      <c r="N253" s="61"/>
      <c r="O253" s="61"/>
      <c r="P253" s="61"/>
      <c r="Q253" s="61"/>
      <c r="R253" s="61"/>
      <c r="S253" s="61"/>
      <c r="T253" s="61"/>
      <c r="U253" s="61"/>
      <c r="V253" s="61"/>
      <c r="W253" s="61"/>
      <c r="X253" s="61"/>
      <c r="Y253" s="61"/>
      <c r="Z253" s="61"/>
      <c r="AA253" s="61"/>
      <c r="AB253" s="26"/>
    </row>
    <row r="254" spans="2:28" x14ac:dyDescent="0.3">
      <c r="B254" s="76" t="s">
        <v>333</v>
      </c>
      <c r="C254" s="108">
        <v>2015</v>
      </c>
      <c r="D254" s="426">
        <v>44.58</v>
      </c>
      <c r="E254" s="207"/>
      <c r="F254" s="399">
        <f>+OM_EF_2017!G83</f>
        <v>0.53500631275387289</v>
      </c>
      <c r="G254" s="49">
        <v>0</v>
      </c>
      <c r="H254" s="49">
        <v>0</v>
      </c>
      <c r="I254" s="49">
        <v>0</v>
      </c>
      <c r="J254" s="49">
        <v>0</v>
      </c>
      <c r="K254" s="49">
        <v>0</v>
      </c>
      <c r="L254" s="378">
        <v>198822</v>
      </c>
      <c r="M254" s="49">
        <v>327476</v>
      </c>
      <c r="N254" s="49">
        <v>341340.33600000001</v>
      </c>
      <c r="O254" s="49">
        <f t="shared" ref="O254:P257" si="133">+AVERAGE(L254:N254)</f>
        <v>289212.77866666665</v>
      </c>
      <c r="P254" s="49">
        <f t="shared" si="133"/>
        <v>319343.03822222218</v>
      </c>
      <c r="Q254" s="49">
        <v>0</v>
      </c>
      <c r="R254" s="49">
        <v>0</v>
      </c>
      <c r="S254" s="49">
        <v>0</v>
      </c>
      <c r="T254" s="49">
        <v>0</v>
      </c>
      <c r="U254" s="49">
        <v>0</v>
      </c>
      <c r="V254" s="49">
        <v>0</v>
      </c>
      <c r="W254" s="49">
        <v>0</v>
      </c>
      <c r="X254" s="49">
        <v>0</v>
      </c>
      <c r="Y254" s="49">
        <v>0</v>
      </c>
      <c r="Z254" s="49">
        <v>0</v>
      </c>
      <c r="AA254" s="49">
        <v>0</v>
      </c>
      <c r="AB254" s="26"/>
    </row>
    <row r="255" spans="2:28" x14ac:dyDescent="0.3">
      <c r="B255" s="76" t="s">
        <v>334</v>
      </c>
      <c r="C255" s="108">
        <v>2015</v>
      </c>
      <c r="D255" s="426">
        <v>44</v>
      </c>
      <c r="E255" s="207"/>
      <c r="F255" s="399">
        <f>+OM_EF_2017!G84</f>
        <v>0.54003734899505884</v>
      </c>
      <c r="G255" s="49">
        <v>0</v>
      </c>
      <c r="H255" s="49">
        <v>0</v>
      </c>
      <c r="I255" s="49">
        <v>0</v>
      </c>
      <c r="J255" s="49">
        <v>0</v>
      </c>
      <c r="K255" s="49">
        <v>0</v>
      </c>
      <c r="L255" s="378">
        <v>104963</v>
      </c>
      <c r="M255" s="49">
        <v>303848</v>
      </c>
      <c r="N255" s="49">
        <v>232234.96000000008</v>
      </c>
      <c r="O255" s="49">
        <f>+AVERAGE(L255:N255)</f>
        <v>213681.98666666669</v>
      </c>
      <c r="P255" s="49">
        <f t="shared" si="133"/>
        <v>249921.64888888891</v>
      </c>
      <c r="Q255" s="49">
        <v>0</v>
      </c>
      <c r="R255" s="49">
        <v>0</v>
      </c>
      <c r="S255" s="49">
        <v>0</v>
      </c>
      <c r="T255" s="49">
        <v>0</v>
      </c>
      <c r="U255" s="49">
        <v>0</v>
      </c>
      <c r="V255" s="49">
        <v>0</v>
      </c>
      <c r="W255" s="49">
        <v>0</v>
      </c>
      <c r="X255" s="49">
        <v>0</v>
      </c>
      <c r="Y255" s="49">
        <v>0</v>
      </c>
      <c r="Z255" s="49">
        <v>0</v>
      </c>
      <c r="AA255" s="49">
        <v>0</v>
      </c>
      <c r="AB255" s="26"/>
    </row>
    <row r="256" spans="2:28" x14ac:dyDescent="0.3">
      <c r="B256" s="76" t="s">
        <v>335</v>
      </c>
      <c r="C256" s="108">
        <v>2015</v>
      </c>
      <c r="D256" s="426">
        <v>44.33</v>
      </c>
      <c r="E256" s="207"/>
      <c r="F256" s="399">
        <f>+OM_EF_2017!G85</f>
        <v>0.53991897167173675</v>
      </c>
      <c r="G256" s="49">
        <v>0</v>
      </c>
      <c r="H256" s="49">
        <v>0</v>
      </c>
      <c r="I256" s="49">
        <v>0</v>
      </c>
      <c r="J256" s="49">
        <v>0</v>
      </c>
      <c r="K256" s="49">
        <v>0</v>
      </c>
      <c r="L256" s="378">
        <v>135385</v>
      </c>
      <c r="M256" s="49">
        <v>334360</v>
      </c>
      <c r="N256" s="49">
        <v>332215.63199999998</v>
      </c>
      <c r="O256" s="49">
        <f t="shared" si="133"/>
        <v>267320.21066666668</v>
      </c>
      <c r="P256" s="49">
        <f>+AVERAGE(M256:O256)</f>
        <v>311298.61422222224</v>
      </c>
      <c r="Q256" s="49">
        <v>0</v>
      </c>
      <c r="R256" s="49">
        <v>0</v>
      </c>
      <c r="S256" s="49">
        <v>0</v>
      </c>
      <c r="T256" s="49">
        <v>0</v>
      </c>
      <c r="U256" s="49">
        <v>0</v>
      </c>
      <c r="V256" s="49">
        <v>0</v>
      </c>
      <c r="W256" s="49">
        <v>0</v>
      </c>
      <c r="X256" s="49">
        <v>0</v>
      </c>
      <c r="Y256" s="49">
        <v>0</v>
      </c>
      <c r="Z256" s="49">
        <v>0</v>
      </c>
      <c r="AA256" s="49">
        <v>0</v>
      </c>
      <c r="AB256" s="26"/>
    </row>
    <row r="257" spans="2:28" x14ac:dyDescent="0.3">
      <c r="B257" s="76" t="s">
        <v>336</v>
      </c>
      <c r="C257" s="108">
        <v>2015</v>
      </c>
      <c r="D257" s="426">
        <v>44.55</v>
      </c>
      <c r="E257" s="207"/>
      <c r="F257" s="399">
        <f>+OM_EF_2017!G86</f>
        <v>0.54062923561166887</v>
      </c>
      <c r="G257" s="49">
        <v>0</v>
      </c>
      <c r="H257" s="49">
        <v>0</v>
      </c>
      <c r="I257" s="49">
        <v>0</v>
      </c>
      <c r="J257" s="49">
        <v>0</v>
      </c>
      <c r="K257" s="49">
        <v>0</v>
      </c>
      <c r="L257" s="378">
        <v>75984</v>
      </c>
      <c r="M257" s="49">
        <v>328445</v>
      </c>
      <c r="N257" s="49">
        <v>319457.85599999991</v>
      </c>
      <c r="O257" s="49">
        <f t="shared" si="133"/>
        <v>241295.61866666665</v>
      </c>
      <c r="P257" s="49">
        <f>+AVERAGE(M257:O257)</f>
        <v>296399.49155555555</v>
      </c>
      <c r="Q257" s="49">
        <v>0</v>
      </c>
      <c r="R257" s="49">
        <v>0</v>
      </c>
      <c r="S257" s="49">
        <v>0</v>
      </c>
      <c r="T257" s="49">
        <v>0</v>
      </c>
      <c r="U257" s="49">
        <v>0</v>
      </c>
      <c r="V257" s="49">
        <v>0</v>
      </c>
      <c r="W257" s="49">
        <v>0</v>
      </c>
      <c r="X257" s="49">
        <v>0</v>
      </c>
      <c r="Y257" s="49">
        <v>0</v>
      </c>
      <c r="Z257" s="49">
        <v>0</v>
      </c>
      <c r="AA257" s="49">
        <v>0</v>
      </c>
      <c r="AB257" s="26"/>
    </row>
    <row r="258" spans="2:28" x14ac:dyDescent="0.3">
      <c r="B258" s="76" t="s">
        <v>337</v>
      </c>
      <c r="C258" s="108">
        <v>2015</v>
      </c>
      <c r="D258" s="426">
        <v>44</v>
      </c>
      <c r="E258" s="207"/>
      <c r="F258" s="399">
        <f>+OM_EF_2017!G87</f>
        <v>0.54128031088994011</v>
      </c>
      <c r="G258" s="49">
        <v>0</v>
      </c>
      <c r="H258" s="49">
        <v>0</v>
      </c>
      <c r="I258" s="49">
        <v>0</v>
      </c>
      <c r="J258" s="49">
        <v>0</v>
      </c>
      <c r="K258" s="49">
        <v>0</v>
      </c>
      <c r="L258" s="378">
        <v>91678</v>
      </c>
      <c r="M258" s="49">
        <v>330964</v>
      </c>
      <c r="N258" s="49">
        <v>332882.23199999996</v>
      </c>
      <c r="O258" s="49">
        <f>+AVERAGE($L$258:$N$258)</f>
        <v>251841.41066666666</v>
      </c>
      <c r="P258" s="49">
        <f t="shared" ref="P258:AA258" si="134">+AVERAGE($L$258:$N$258)</f>
        <v>251841.41066666666</v>
      </c>
      <c r="Q258" s="49">
        <f t="shared" si="134"/>
        <v>251841.41066666666</v>
      </c>
      <c r="R258" s="49">
        <f t="shared" si="134"/>
        <v>251841.41066666666</v>
      </c>
      <c r="S258" s="49">
        <f t="shared" si="134"/>
        <v>251841.41066666666</v>
      </c>
      <c r="T258" s="49">
        <f t="shared" si="134"/>
        <v>251841.41066666666</v>
      </c>
      <c r="U258" s="49">
        <f t="shared" si="134"/>
        <v>251841.41066666666</v>
      </c>
      <c r="V258" s="49">
        <f t="shared" si="134"/>
        <v>251841.41066666666</v>
      </c>
      <c r="W258" s="49">
        <f t="shared" si="134"/>
        <v>251841.41066666666</v>
      </c>
      <c r="X258" s="49">
        <f t="shared" si="134"/>
        <v>251841.41066666666</v>
      </c>
      <c r="Y258" s="49">
        <f t="shared" si="134"/>
        <v>251841.41066666666</v>
      </c>
      <c r="Z258" s="49">
        <f t="shared" si="134"/>
        <v>251841.41066666666</v>
      </c>
      <c r="AA258" s="49">
        <f t="shared" si="134"/>
        <v>251841.41066666666</v>
      </c>
      <c r="AB258" s="26"/>
    </row>
    <row r="259" spans="2:28" x14ac:dyDescent="0.3">
      <c r="B259" s="429"/>
      <c r="C259" s="429"/>
      <c r="D259" s="431"/>
      <c r="E259" s="400"/>
      <c r="F259" s="400"/>
      <c r="G259" s="4"/>
      <c r="H259" s="30"/>
      <c r="I259" s="4"/>
      <c r="J259" s="4"/>
      <c r="K259" s="30"/>
      <c r="L259" s="30"/>
      <c r="M259" s="30"/>
      <c r="N259" s="30"/>
      <c r="O259" s="30"/>
      <c r="P259" s="30"/>
      <c r="Q259" s="30"/>
      <c r="R259" s="30"/>
      <c r="S259" s="30"/>
      <c r="T259" s="30"/>
      <c r="U259" s="30"/>
      <c r="V259" s="30"/>
      <c r="W259" s="30"/>
      <c r="X259" s="30"/>
      <c r="Y259" s="30"/>
      <c r="Z259" s="30"/>
      <c r="AA259" s="30"/>
    </row>
    <row r="260" spans="2:28" x14ac:dyDescent="0.3">
      <c r="B260" s="439"/>
      <c r="C260" s="440"/>
      <c r="D260" s="440"/>
      <c r="E260" s="440"/>
      <c r="F260" s="438"/>
      <c r="G260" s="381">
        <v>2010</v>
      </c>
      <c r="H260" s="381">
        <v>2011</v>
      </c>
      <c r="I260" s="381">
        <v>2012</v>
      </c>
      <c r="J260" s="381">
        <v>2013</v>
      </c>
      <c r="K260" s="381">
        <v>2014</v>
      </c>
      <c r="L260" s="381">
        <v>2015</v>
      </c>
      <c r="M260" s="381">
        <v>2016</v>
      </c>
      <c r="N260" s="381">
        <v>2017</v>
      </c>
      <c r="O260" s="381">
        <v>2018</v>
      </c>
      <c r="P260" s="381">
        <v>2019</v>
      </c>
      <c r="Q260" s="381">
        <v>2020</v>
      </c>
      <c r="R260" s="381">
        <v>2021</v>
      </c>
      <c r="S260" s="381">
        <v>2022</v>
      </c>
      <c r="T260" s="381">
        <v>2023</v>
      </c>
      <c r="U260" s="381">
        <v>2024</v>
      </c>
      <c r="V260" s="381">
        <v>2025</v>
      </c>
      <c r="W260" s="381">
        <v>2026</v>
      </c>
      <c r="X260" s="381">
        <v>2027</v>
      </c>
      <c r="Y260" s="381">
        <v>2028</v>
      </c>
      <c r="Z260" s="381">
        <v>2029</v>
      </c>
      <c r="AA260" s="381">
        <v>2030</v>
      </c>
    </row>
    <row r="261" spans="2:28" ht="28.8" x14ac:dyDescent="0.3">
      <c r="B261" s="84" t="s">
        <v>164</v>
      </c>
      <c r="C261" s="80" t="s">
        <v>279</v>
      </c>
      <c r="D261" s="389" t="s">
        <v>397</v>
      </c>
      <c r="E261" s="388"/>
      <c r="F261" s="388"/>
      <c r="G261" s="79" t="s">
        <v>197</v>
      </c>
      <c r="H261" s="79" t="s">
        <v>197</v>
      </c>
      <c r="I261" s="79" t="s">
        <v>197</v>
      </c>
      <c r="J261" s="79" t="s">
        <v>197</v>
      </c>
      <c r="K261" s="79" t="s">
        <v>197</v>
      </c>
      <c r="L261" s="79" t="s">
        <v>197</v>
      </c>
      <c r="M261" s="79" t="s">
        <v>197</v>
      </c>
      <c r="N261" s="79" t="s">
        <v>197</v>
      </c>
      <c r="O261" s="79" t="s">
        <v>197</v>
      </c>
      <c r="P261" s="79" t="s">
        <v>197</v>
      </c>
      <c r="Q261" s="79" t="s">
        <v>197</v>
      </c>
      <c r="R261" s="79" t="s">
        <v>197</v>
      </c>
      <c r="S261" s="79" t="s">
        <v>197</v>
      </c>
      <c r="T261" s="79" t="s">
        <v>197</v>
      </c>
      <c r="U261" s="79" t="s">
        <v>197</v>
      </c>
      <c r="V261" s="79" t="s">
        <v>197</v>
      </c>
      <c r="W261" s="79" t="s">
        <v>197</v>
      </c>
      <c r="X261" s="79" t="s">
        <v>197</v>
      </c>
      <c r="Y261" s="79" t="s">
        <v>197</v>
      </c>
      <c r="Z261" s="79" t="s">
        <v>197</v>
      </c>
      <c r="AA261" s="79" t="s">
        <v>197</v>
      </c>
    </row>
    <row r="262" spans="2:28" x14ac:dyDescent="0.3">
      <c r="B262" s="82" t="s">
        <v>0</v>
      </c>
      <c r="C262" s="82"/>
      <c r="D262" s="82"/>
      <c r="E262" s="82"/>
      <c r="F262" s="82"/>
      <c r="G262" s="83">
        <f>SUM(G263:G331)</f>
        <v>2151428.9800358461</v>
      </c>
      <c r="H262" s="83">
        <f t="shared" ref="H262:AA262" si="135">SUM(H263:H331)</f>
        <v>2324105.4636729998</v>
      </c>
      <c r="I262" s="83">
        <f t="shared" si="135"/>
        <v>2322084.4652733332</v>
      </c>
      <c r="J262" s="83">
        <f t="shared" si="135"/>
        <v>2514863.618699627</v>
      </c>
      <c r="K262" s="83">
        <f t="shared" si="135"/>
        <v>2232992.8565350003</v>
      </c>
      <c r="L262" s="83">
        <f t="shared" si="135"/>
        <v>2439591.1513262745</v>
      </c>
      <c r="M262" s="83">
        <f t="shared" si="135"/>
        <v>1715604.4612500004</v>
      </c>
      <c r="N262" s="83">
        <f t="shared" si="135"/>
        <v>2229863.9013999989</v>
      </c>
      <c r="O262" s="83">
        <f t="shared" si="135"/>
        <v>2651238.9793254239</v>
      </c>
      <c r="P262" s="83">
        <f t="shared" si="135"/>
        <v>2640951.1156587573</v>
      </c>
      <c r="Q262" s="83">
        <f t="shared" si="135"/>
        <v>2640951.1156587573</v>
      </c>
      <c r="R262" s="83">
        <f t="shared" si="135"/>
        <v>2640951.1156587573</v>
      </c>
      <c r="S262" s="83">
        <f t="shared" si="135"/>
        <v>2640951.1156587573</v>
      </c>
      <c r="T262" s="83">
        <f t="shared" si="135"/>
        <v>2640951.1156587573</v>
      </c>
      <c r="U262" s="83">
        <f t="shared" si="135"/>
        <v>2640951.1156587573</v>
      </c>
      <c r="V262" s="83">
        <f t="shared" si="135"/>
        <v>2640951.1156587573</v>
      </c>
      <c r="W262" s="83">
        <f t="shared" si="135"/>
        <v>2640951.1156587573</v>
      </c>
      <c r="X262" s="83">
        <f t="shared" si="135"/>
        <v>2640951.1156587573</v>
      </c>
      <c r="Y262" s="83">
        <f t="shared" si="135"/>
        <v>2640951.1156587573</v>
      </c>
      <c r="Z262" s="83">
        <f t="shared" si="135"/>
        <v>2640951.1156587573</v>
      </c>
      <c r="AA262" s="83">
        <f t="shared" si="135"/>
        <v>2640951.1156587573</v>
      </c>
    </row>
    <row r="263" spans="2:28" x14ac:dyDescent="0.3">
      <c r="B263" s="57" t="s">
        <v>26</v>
      </c>
      <c r="C263" s="57"/>
      <c r="D263" s="57"/>
      <c r="E263" s="57"/>
      <c r="F263" s="57"/>
      <c r="G263" s="78"/>
      <c r="H263" s="78"/>
      <c r="I263" s="78"/>
      <c r="J263" s="78"/>
      <c r="K263" s="78"/>
      <c r="L263" s="78"/>
      <c r="M263" s="78"/>
      <c r="N263" s="78"/>
      <c r="O263" s="78"/>
      <c r="P263" s="78"/>
      <c r="Q263" s="78"/>
      <c r="R263" s="78"/>
      <c r="S263" s="78"/>
      <c r="T263" s="78"/>
      <c r="U263" s="78"/>
      <c r="V263" s="78"/>
      <c r="W263" s="78"/>
      <c r="X263" s="78"/>
      <c r="Y263" s="78"/>
      <c r="Z263" s="78"/>
      <c r="AA263" s="78"/>
    </row>
    <row r="264" spans="2:28" x14ac:dyDescent="0.3">
      <c r="B264" s="47" t="s">
        <v>142</v>
      </c>
      <c r="C264" s="110">
        <v>1936</v>
      </c>
      <c r="D264" s="426">
        <v>2.2200000000000002</v>
      </c>
      <c r="E264" s="434"/>
      <c r="F264" s="47"/>
      <c r="G264" s="49">
        <v>9271.0999999999949</v>
      </c>
      <c r="H264" s="49">
        <v>8656.5849999999991</v>
      </c>
      <c r="I264" s="49">
        <v>10232.768999999998</v>
      </c>
      <c r="J264" s="49">
        <v>8655.150999999998</v>
      </c>
      <c r="K264" s="49">
        <v>8364.82</v>
      </c>
      <c r="L264" s="49">
        <v>8059.2840000000015</v>
      </c>
      <c r="M264" s="49">
        <v>8299.025999999998</v>
      </c>
      <c r="N264" s="49">
        <v>7068.2120000000004</v>
      </c>
      <c r="O264" s="49">
        <f t="shared" ref="O264:O281" si="136">+AVERAGE(L264:N264)</f>
        <v>7808.8406666666669</v>
      </c>
      <c r="P264" s="49">
        <f>+O264</f>
        <v>7808.8406666666669</v>
      </c>
      <c r="Q264" s="49">
        <f t="shared" ref="Q264:AA264" si="137">+P264</f>
        <v>7808.8406666666669</v>
      </c>
      <c r="R264" s="49">
        <f t="shared" si="137"/>
        <v>7808.8406666666669</v>
      </c>
      <c r="S264" s="49">
        <f t="shared" si="137"/>
        <v>7808.8406666666669</v>
      </c>
      <c r="T264" s="49">
        <f t="shared" si="137"/>
        <v>7808.8406666666669</v>
      </c>
      <c r="U264" s="49">
        <f t="shared" si="137"/>
        <v>7808.8406666666669</v>
      </c>
      <c r="V264" s="49">
        <f t="shared" si="137"/>
        <v>7808.8406666666669</v>
      </c>
      <c r="W264" s="49">
        <f t="shared" si="137"/>
        <v>7808.8406666666669</v>
      </c>
      <c r="X264" s="49">
        <f t="shared" si="137"/>
        <v>7808.8406666666669</v>
      </c>
      <c r="Y264" s="49">
        <f t="shared" si="137"/>
        <v>7808.8406666666669</v>
      </c>
      <c r="Z264" s="49">
        <f t="shared" si="137"/>
        <v>7808.8406666666669</v>
      </c>
      <c r="AA264" s="49">
        <f t="shared" si="137"/>
        <v>7808.8406666666669</v>
      </c>
    </row>
    <row r="265" spans="2:28" x14ac:dyDescent="0.3">
      <c r="B265" s="47" t="s">
        <v>143</v>
      </c>
      <c r="C265" s="110">
        <v>1958</v>
      </c>
      <c r="D265" s="426">
        <v>1.27</v>
      </c>
      <c r="E265" s="434"/>
      <c r="F265" s="47"/>
      <c r="G265" s="49">
        <v>4843.4999999999982</v>
      </c>
      <c r="H265" s="49">
        <v>5139.1980000000003</v>
      </c>
      <c r="I265" s="49">
        <v>4981.5259999999998</v>
      </c>
      <c r="J265" s="49">
        <v>3998.6959999999999</v>
      </c>
      <c r="K265" s="49">
        <v>4087.8379999999997</v>
      </c>
      <c r="L265" s="49">
        <v>3992.585</v>
      </c>
      <c r="M265" s="49">
        <v>2863.16</v>
      </c>
      <c r="N265" s="49">
        <v>3531.5559999999991</v>
      </c>
      <c r="O265" s="49">
        <f t="shared" si="136"/>
        <v>3462.4336666666663</v>
      </c>
      <c r="P265" s="49">
        <f t="shared" ref="P265:AA266" si="138">+O265</f>
        <v>3462.4336666666663</v>
      </c>
      <c r="Q265" s="49">
        <f t="shared" si="138"/>
        <v>3462.4336666666663</v>
      </c>
      <c r="R265" s="49">
        <f t="shared" si="138"/>
        <v>3462.4336666666663</v>
      </c>
      <c r="S265" s="49">
        <f t="shared" si="138"/>
        <v>3462.4336666666663</v>
      </c>
      <c r="T265" s="49">
        <f t="shared" si="138"/>
        <v>3462.4336666666663</v>
      </c>
      <c r="U265" s="49">
        <f t="shared" si="138"/>
        <v>3462.4336666666663</v>
      </c>
      <c r="V265" s="49">
        <f t="shared" si="138"/>
        <v>3462.4336666666663</v>
      </c>
      <c r="W265" s="49">
        <f t="shared" si="138"/>
        <v>3462.4336666666663</v>
      </c>
      <c r="X265" s="49">
        <f t="shared" si="138"/>
        <v>3462.4336666666663</v>
      </c>
      <c r="Y265" s="49">
        <f t="shared" si="138"/>
        <v>3462.4336666666663</v>
      </c>
      <c r="Z265" s="49">
        <f t="shared" si="138"/>
        <v>3462.4336666666663</v>
      </c>
      <c r="AA265" s="49">
        <f t="shared" si="138"/>
        <v>3462.4336666666663</v>
      </c>
    </row>
    <row r="266" spans="2:28" x14ac:dyDescent="0.3">
      <c r="B266" s="47" t="s">
        <v>144</v>
      </c>
      <c r="C266" s="110">
        <v>2008</v>
      </c>
      <c r="D266" s="426">
        <v>2.74</v>
      </c>
      <c r="E266" s="434"/>
      <c r="F266" s="47"/>
      <c r="G266" s="49">
        <v>5760.9160000000011</v>
      </c>
      <c r="H266" s="49">
        <v>6575.5169999999998</v>
      </c>
      <c r="I266" s="49">
        <v>7386.07</v>
      </c>
      <c r="J266" s="49">
        <v>6891.6029999999992</v>
      </c>
      <c r="K266" s="49">
        <v>6808.925000000002</v>
      </c>
      <c r="L266" s="49">
        <v>6644.1160000000018</v>
      </c>
      <c r="M266" s="49">
        <v>5656.7429999999995</v>
      </c>
      <c r="N266" s="49">
        <v>6833.0870000000014</v>
      </c>
      <c r="O266" s="49">
        <f t="shared" si="136"/>
        <v>6377.9820000000009</v>
      </c>
      <c r="P266" s="49">
        <f t="shared" si="138"/>
        <v>6377.9820000000009</v>
      </c>
      <c r="Q266" s="49">
        <f t="shared" si="138"/>
        <v>6377.9820000000009</v>
      </c>
      <c r="R266" s="49">
        <f t="shared" si="138"/>
        <v>6377.9820000000009</v>
      </c>
      <c r="S266" s="49">
        <f t="shared" si="138"/>
        <v>6377.9820000000009</v>
      </c>
      <c r="T266" s="49">
        <f t="shared" si="138"/>
        <v>6377.9820000000009</v>
      </c>
      <c r="U266" s="49">
        <f t="shared" si="138"/>
        <v>6377.9820000000009</v>
      </c>
      <c r="V266" s="49">
        <f t="shared" si="138"/>
        <v>6377.9820000000009</v>
      </c>
      <c r="W266" s="49">
        <f t="shared" si="138"/>
        <v>6377.9820000000009</v>
      </c>
      <c r="X266" s="49">
        <f t="shared" si="138"/>
        <v>6377.9820000000009</v>
      </c>
      <c r="Y266" s="49">
        <f t="shared" si="138"/>
        <v>6377.9820000000009</v>
      </c>
      <c r="Z266" s="49">
        <f t="shared" si="138"/>
        <v>6377.9820000000009</v>
      </c>
      <c r="AA266" s="49">
        <f t="shared" si="138"/>
        <v>6377.9820000000009</v>
      </c>
    </row>
    <row r="267" spans="2:28" x14ac:dyDescent="0.3">
      <c r="B267" s="57" t="s">
        <v>27</v>
      </c>
      <c r="C267" s="57"/>
      <c r="D267" s="57"/>
      <c r="E267" s="57"/>
      <c r="F267" s="57"/>
      <c r="G267" s="78"/>
      <c r="H267" s="78"/>
      <c r="I267" s="78"/>
      <c r="J267" s="78"/>
      <c r="K267" s="78"/>
      <c r="L267" s="78"/>
      <c r="M267" s="78"/>
      <c r="N267" s="78"/>
      <c r="O267" s="78"/>
      <c r="P267" s="78"/>
      <c r="Q267" s="78"/>
      <c r="R267" s="78"/>
      <c r="S267" s="78"/>
      <c r="T267" s="78"/>
      <c r="U267" s="78"/>
      <c r="V267" s="78"/>
      <c r="W267" s="78"/>
      <c r="X267" s="78"/>
      <c r="Y267" s="78"/>
      <c r="Z267" s="78"/>
      <c r="AA267" s="78"/>
    </row>
    <row r="268" spans="2:28" x14ac:dyDescent="0.3">
      <c r="B268" s="47" t="s">
        <v>125</v>
      </c>
      <c r="C268" s="110">
        <v>1938</v>
      </c>
      <c r="D268" s="426">
        <v>1.9</v>
      </c>
      <c r="E268" s="434"/>
      <c r="F268" s="47"/>
      <c r="G268" s="49">
        <v>7849.8739999999998</v>
      </c>
      <c r="H268" s="49">
        <v>8621.2659999999996</v>
      </c>
      <c r="I268" s="49">
        <v>8717.6899999999987</v>
      </c>
      <c r="J268" s="49">
        <v>8548.19</v>
      </c>
      <c r="K268" s="49">
        <v>6937.6459999999988</v>
      </c>
      <c r="L268" s="49">
        <v>8959.4909999999982</v>
      </c>
      <c r="M268" s="49">
        <v>5032.6009999999997</v>
      </c>
      <c r="N268" s="49">
        <v>8563.4409999999989</v>
      </c>
      <c r="O268" s="49">
        <f t="shared" si="136"/>
        <v>7518.5109999999986</v>
      </c>
      <c r="P268" s="49">
        <f t="shared" ref="P268:AA270" si="139">+O268</f>
        <v>7518.5109999999986</v>
      </c>
      <c r="Q268" s="49">
        <f t="shared" si="139"/>
        <v>7518.5109999999986</v>
      </c>
      <c r="R268" s="49">
        <f t="shared" si="139"/>
        <v>7518.5109999999986</v>
      </c>
      <c r="S268" s="49">
        <f t="shared" si="139"/>
        <v>7518.5109999999986</v>
      </c>
      <c r="T268" s="49">
        <f t="shared" si="139"/>
        <v>7518.5109999999986</v>
      </c>
      <c r="U268" s="49">
        <f t="shared" si="139"/>
        <v>7518.5109999999986</v>
      </c>
      <c r="V268" s="49">
        <f t="shared" si="139"/>
        <v>7518.5109999999986</v>
      </c>
      <c r="W268" s="49">
        <f t="shared" si="139"/>
        <v>7518.5109999999986</v>
      </c>
      <c r="X268" s="49">
        <f t="shared" si="139"/>
        <v>7518.5109999999986</v>
      </c>
      <c r="Y268" s="49">
        <f t="shared" si="139"/>
        <v>7518.5109999999986</v>
      </c>
      <c r="Z268" s="49">
        <f t="shared" si="139"/>
        <v>7518.5109999999986</v>
      </c>
      <c r="AA268" s="49">
        <f t="shared" si="139"/>
        <v>7518.5109999999986</v>
      </c>
    </row>
    <row r="269" spans="2:28" x14ac:dyDescent="0.3">
      <c r="B269" s="47" t="s">
        <v>126</v>
      </c>
      <c r="C269" s="110">
        <v>1941</v>
      </c>
      <c r="D269" s="426">
        <v>1.47</v>
      </c>
      <c r="E269" s="434"/>
      <c r="F269" s="47"/>
      <c r="G269" s="49">
        <v>6640.692</v>
      </c>
      <c r="H269" s="49">
        <v>7153.3130000000001</v>
      </c>
      <c r="I269" s="49">
        <v>7359.0120000000006</v>
      </c>
      <c r="J269" s="49">
        <v>7028.0189999999984</v>
      </c>
      <c r="K269" s="49">
        <v>5548.0110000000004</v>
      </c>
      <c r="L269" s="49">
        <v>7037.5190000000011</v>
      </c>
      <c r="M269" s="49">
        <v>3451.9039999999995</v>
      </c>
      <c r="N269" s="49">
        <v>6239.6179999999995</v>
      </c>
      <c r="O269" s="49">
        <f t="shared" si="136"/>
        <v>5576.3470000000007</v>
      </c>
      <c r="P269" s="49">
        <f t="shared" si="139"/>
        <v>5576.3470000000007</v>
      </c>
      <c r="Q269" s="49">
        <f t="shared" si="139"/>
        <v>5576.3470000000007</v>
      </c>
      <c r="R269" s="49">
        <f t="shared" si="139"/>
        <v>5576.3470000000007</v>
      </c>
      <c r="S269" s="49">
        <f t="shared" si="139"/>
        <v>5576.3470000000007</v>
      </c>
      <c r="T269" s="49">
        <f t="shared" si="139"/>
        <v>5576.3470000000007</v>
      </c>
      <c r="U269" s="49">
        <f t="shared" si="139"/>
        <v>5576.3470000000007</v>
      </c>
      <c r="V269" s="49">
        <f t="shared" si="139"/>
        <v>5576.3470000000007</v>
      </c>
      <c r="W269" s="49">
        <f t="shared" si="139"/>
        <v>5576.3470000000007</v>
      </c>
      <c r="X269" s="49">
        <f t="shared" si="139"/>
        <v>5576.3470000000007</v>
      </c>
      <c r="Y269" s="49">
        <f t="shared" si="139"/>
        <v>5576.3470000000007</v>
      </c>
      <c r="Z269" s="49">
        <f t="shared" si="139"/>
        <v>5576.3470000000007</v>
      </c>
      <c r="AA269" s="49">
        <f t="shared" si="139"/>
        <v>5576.3470000000007</v>
      </c>
    </row>
    <row r="270" spans="2:28" x14ac:dyDescent="0.3">
      <c r="B270" s="47" t="s">
        <v>127</v>
      </c>
      <c r="C270" s="110">
        <v>1998</v>
      </c>
      <c r="D270" s="426">
        <v>3.44</v>
      </c>
      <c r="E270" s="434"/>
      <c r="F270" s="47"/>
      <c r="G270" s="49">
        <v>21561.253000000001</v>
      </c>
      <c r="H270" s="49">
        <v>20814.348000000002</v>
      </c>
      <c r="I270" s="49">
        <v>22706.515999999996</v>
      </c>
      <c r="J270" s="49">
        <v>22174.722999999998</v>
      </c>
      <c r="K270" s="49">
        <v>20967.522999999997</v>
      </c>
      <c r="L270" s="49">
        <v>23605.780999999999</v>
      </c>
      <c r="M270" s="49">
        <v>18889.346000000001</v>
      </c>
      <c r="N270" s="49">
        <v>20402.677000000003</v>
      </c>
      <c r="O270" s="49">
        <f t="shared" si="136"/>
        <v>20965.934666666668</v>
      </c>
      <c r="P270" s="49">
        <f t="shared" si="139"/>
        <v>20965.934666666668</v>
      </c>
      <c r="Q270" s="49">
        <f t="shared" si="139"/>
        <v>20965.934666666668</v>
      </c>
      <c r="R270" s="49">
        <f t="shared" si="139"/>
        <v>20965.934666666668</v>
      </c>
      <c r="S270" s="49">
        <f t="shared" si="139"/>
        <v>20965.934666666668</v>
      </c>
      <c r="T270" s="49">
        <f t="shared" si="139"/>
        <v>20965.934666666668</v>
      </c>
      <c r="U270" s="49">
        <f t="shared" si="139"/>
        <v>20965.934666666668</v>
      </c>
      <c r="V270" s="49">
        <f t="shared" si="139"/>
        <v>20965.934666666668</v>
      </c>
      <c r="W270" s="49">
        <f t="shared" si="139"/>
        <v>20965.934666666668</v>
      </c>
      <c r="X270" s="49">
        <f t="shared" si="139"/>
        <v>20965.934666666668</v>
      </c>
      <c r="Y270" s="49">
        <f t="shared" si="139"/>
        <v>20965.934666666668</v>
      </c>
      <c r="Z270" s="49">
        <f t="shared" si="139"/>
        <v>20965.934666666668</v>
      </c>
      <c r="AA270" s="49">
        <f t="shared" si="139"/>
        <v>20965.934666666668</v>
      </c>
    </row>
    <row r="271" spans="2:28" x14ac:dyDescent="0.3">
      <c r="B271" s="57" t="s">
        <v>28</v>
      </c>
      <c r="C271" s="57"/>
      <c r="D271" s="57"/>
      <c r="E271" s="57"/>
      <c r="F271" s="57"/>
      <c r="G271" s="78"/>
      <c r="H271" s="78"/>
      <c r="I271" s="78"/>
      <c r="J271" s="78"/>
      <c r="K271" s="78"/>
      <c r="L271" s="78"/>
      <c r="M271" s="78"/>
      <c r="N271" s="78"/>
      <c r="O271" s="78"/>
      <c r="P271" s="78"/>
      <c r="Q271" s="78"/>
      <c r="R271" s="78"/>
      <c r="S271" s="78"/>
      <c r="T271" s="78"/>
      <c r="U271" s="78"/>
      <c r="V271" s="78"/>
      <c r="W271" s="78"/>
      <c r="X271" s="78"/>
      <c r="Y271" s="78"/>
      <c r="Z271" s="78"/>
      <c r="AA271" s="78"/>
    </row>
    <row r="272" spans="2:28" x14ac:dyDescent="0.3">
      <c r="B272" s="47" t="s">
        <v>156</v>
      </c>
      <c r="C272" s="110">
        <v>1974</v>
      </c>
      <c r="D272" s="426">
        <v>13.653</v>
      </c>
      <c r="E272" s="434"/>
      <c r="F272" s="47"/>
      <c r="G272" s="49">
        <v>79039.576000000001</v>
      </c>
      <c r="H272" s="49">
        <v>58254.008999999998</v>
      </c>
      <c r="I272" s="49">
        <v>51281.207999999999</v>
      </c>
      <c r="J272" s="49">
        <v>86457.891000000003</v>
      </c>
      <c r="K272" s="49">
        <v>85493.885999999984</v>
      </c>
      <c r="L272" s="49">
        <v>81648.601999999999</v>
      </c>
      <c r="M272" s="49">
        <v>62691.474999999999</v>
      </c>
      <c r="N272" s="49">
        <v>85854.238000000012</v>
      </c>
      <c r="O272" s="49">
        <f t="shared" si="136"/>
        <v>76731.438333333339</v>
      </c>
      <c r="P272" s="49">
        <f t="shared" ref="P272:AA273" si="140">+O272</f>
        <v>76731.438333333339</v>
      </c>
      <c r="Q272" s="49">
        <f t="shared" si="140"/>
        <v>76731.438333333339</v>
      </c>
      <c r="R272" s="49">
        <f t="shared" si="140"/>
        <v>76731.438333333339</v>
      </c>
      <c r="S272" s="49">
        <f t="shared" si="140"/>
        <v>76731.438333333339</v>
      </c>
      <c r="T272" s="49">
        <f t="shared" si="140"/>
        <v>76731.438333333339</v>
      </c>
      <c r="U272" s="49">
        <f t="shared" si="140"/>
        <v>76731.438333333339</v>
      </c>
      <c r="V272" s="49">
        <f t="shared" si="140"/>
        <v>76731.438333333339</v>
      </c>
      <c r="W272" s="49">
        <f t="shared" si="140"/>
        <v>76731.438333333339</v>
      </c>
      <c r="X272" s="49">
        <f t="shared" si="140"/>
        <v>76731.438333333339</v>
      </c>
      <c r="Y272" s="49">
        <f t="shared" si="140"/>
        <v>76731.438333333339</v>
      </c>
      <c r="Z272" s="49">
        <f t="shared" si="140"/>
        <v>76731.438333333339</v>
      </c>
      <c r="AA272" s="49">
        <f t="shared" si="140"/>
        <v>76731.438333333339</v>
      </c>
    </row>
    <row r="273" spans="2:27" x14ac:dyDescent="0.3">
      <c r="B273" s="47" t="s">
        <v>157</v>
      </c>
      <c r="C273" s="110">
        <v>1974</v>
      </c>
      <c r="D273" s="426">
        <v>14.364000000000001</v>
      </c>
      <c r="E273" s="434"/>
      <c r="F273" s="47"/>
      <c r="G273" s="49">
        <v>81435.836999999985</v>
      </c>
      <c r="H273" s="49">
        <v>91507.437000000005</v>
      </c>
      <c r="I273" s="49">
        <v>83285.340000000011</v>
      </c>
      <c r="J273" s="49">
        <v>84764.018000000011</v>
      </c>
      <c r="K273" s="49">
        <v>77185.930999999997</v>
      </c>
      <c r="L273" s="49">
        <v>81079.112999999998</v>
      </c>
      <c r="M273" s="49">
        <v>67549.632999999987</v>
      </c>
      <c r="N273" s="49">
        <v>83617.593000000008</v>
      </c>
      <c r="O273" s="49">
        <f t="shared" si="136"/>
        <v>77415.446333333326</v>
      </c>
      <c r="P273" s="49">
        <f t="shared" si="140"/>
        <v>77415.446333333326</v>
      </c>
      <c r="Q273" s="49">
        <f t="shared" si="140"/>
        <v>77415.446333333326</v>
      </c>
      <c r="R273" s="49">
        <f t="shared" si="140"/>
        <v>77415.446333333326</v>
      </c>
      <c r="S273" s="49">
        <f t="shared" si="140"/>
        <v>77415.446333333326</v>
      </c>
      <c r="T273" s="49">
        <f t="shared" si="140"/>
        <v>77415.446333333326</v>
      </c>
      <c r="U273" s="49">
        <f t="shared" si="140"/>
        <v>77415.446333333326</v>
      </c>
      <c r="V273" s="49">
        <f t="shared" si="140"/>
        <v>77415.446333333326</v>
      </c>
      <c r="W273" s="49">
        <f t="shared" si="140"/>
        <v>77415.446333333326</v>
      </c>
      <c r="X273" s="49">
        <f t="shared" si="140"/>
        <v>77415.446333333326</v>
      </c>
      <c r="Y273" s="49">
        <f t="shared" si="140"/>
        <v>77415.446333333326</v>
      </c>
      <c r="Z273" s="49">
        <f t="shared" si="140"/>
        <v>77415.446333333326</v>
      </c>
      <c r="AA273" s="49">
        <f t="shared" si="140"/>
        <v>77415.446333333326</v>
      </c>
    </row>
    <row r="274" spans="2:27" x14ac:dyDescent="0.3">
      <c r="B274" s="57" t="s">
        <v>32</v>
      </c>
      <c r="C274" s="57"/>
      <c r="D274" s="57"/>
      <c r="E274" s="57"/>
      <c r="F274" s="57"/>
      <c r="G274" s="78"/>
      <c r="H274" s="78"/>
      <c r="I274" s="78"/>
      <c r="J274" s="78"/>
      <c r="K274" s="78"/>
      <c r="L274" s="78"/>
      <c r="M274" s="78"/>
      <c r="N274" s="78"/>
      <c r="O274" s="78"/>
      <c r="P274" s="78"/>
      <c r="Q274" s="78"/>
      <c r="R274" s="78"/>
      <c r="S274" s="78"/>
      <c r="T274" s="78"/>
      <c r="U274" s="78"/>
      <c r="V274" s="78"/>
      <c r="W274" s="78"/>
      <c r="X274" s="78"/>
      <c r="Y274" s="78"/>
      <c r="Z274" s="78"/>
      <c r="AA274" s="78"/>
    </row>
    <row r="275" spans="2:27" x14ac:dyDescent="0.3">
      <c r="B275" s="47" t="s">
        <v>148</v>
      </c>
      <c r="C275" s="110">
        <v>1958</v>
      </c>
      <c r="D275" s="426">
        <v>6.13</v>
      </c>
      <c r="E275" s="434"/>
      <c r="F275" s="47"/>
      <c r="G275" s="49">
        <v>43231.955000000002</v>
      </c>
      <c r="H275" s="49">
        <v>41999.478999999999</v>
      </c>
      <c r="I275" s="49">
        <v>43164.040999999997</v>
      </c>
      <c r="J275" s="49">
        <v>45495.326000000001</v>
      </c>
      <c r="K275" s="49">
        <v>43258.477999999996</v>
      </c>
      <c r="L275" s="49">
        <v>41867.756999999991</v>
      </c>
      <c r="M275" s="49">
        <v>36040.239999999998</v>
      </c>
      <c r="N275" s="49">
        <v>41074.044999999998</v>
      </c>
      <c r="O275" s="49">
        <f t="shared" si="136"/>
        <v>39660.68066666666</v>
      </c>
      <c r="P275" s="49">
        <f>+O275</f>
        <v>39660.68066666666</v>
      </c>
      <c r="Q275" s="49">
        <f t="shared" ref="Q275:AA275" si="141">+P275</f>
        <v>39660.68066666666</v>
      </c>
      <c r="R275" s="49">
        <f t="shared" si="141"/>
        <v>39660.68066666666</v>
      </c>
      <c r="S275" s="49">
        <f t="shared" si="141"/>
        <v>39660.68066666666</v>
      </c>
      <c r="T275" s="49">
        <f t="shared" si="141"/>
        <v>39660.68066666666</v>
      </c>
      <c r="U275" s="49">
        <f t="shared" si="141"/>
        <v>39660.68066666666</v>
      </c>
      <c r="V275" s="49">
        <f t="shared" si="141"/>
        <v>39660.68066666666</v>
      </c>
      <c r="W275" s="49">
        <f t="shared" si="141"/>
        <v>39660.68066666666</v>
      </c>
      <c r="X275" s="49">
        <f t="shared" si="141"/>
        <v>39660.68066666666</v>
      </c>
      <c r="Y275" s="49">
        <f t="shared" si="141"/>
        <v>39660.68066666666</v>
      </c>
      <c r="Z275" s="49">
        <f t="shared" si="141"/>
        <v>39660.68066666666</v>
      </c>
      <c r="AA275" s="49">
        <f t="shared" si="141"/>
        <v>39660.68066666666</v>
      </c>
    </row>
    <row r="276" spans="2:27" x14ac:dyDescent="0.3">
      <c r="B276" s="57" t="s">
        <v>29</v>
      </c>
      <c r="C276" s="392" t="s">
        <v>477</v>
      </c>
      <c r="D276" s="433">
        <v>38.4</v>
      </c>
      <c r="E276" s="57"/>
      <c r="F276" s="57"/>
      <c r="G276" s="78"/>
      <c r="H276" s="78"/>
      <c r="I276" s="78"/>
      <c r="J276" s="78"/>
      <c r="K276" s="78"/>
      <c r="L276" s="78"/>
      <c r="M276" s="78"/>
      <c r="N276" s="78"/>
      <c r="O276" s="78"/>
      <c r="P276" s="78"/>
      <c r="Q276" s="78"/>
      <c r="R276" s="78"/>
      <c r="S276" s="78"/>
      <c r="T276" s="78"/>
      <c r="U276" s="78"/>
      <c r="V276" s="78"/>
      <c r="W276" s="78"/>
      <c r="X276" s="78"/>
      <c r="Y276" s="78"/>
      <c r="Z276" s="78"/>
      <c r="AA276" s="78"/>
    </row>
    <row r="277" spans="2:27" x14ac:dyDescent="0.3">
      <c r="B277" s="47" t="s">
        <v>149</v>
      </c>
      <c r="C277" s="110"/>
      <c r="D277" s="424"/>
      <c r="E277" s="434"/>
      <c r="F277" s="47"/>
      <c r="G277" s="49">
        <v>5956.3567500000081</v>
      </c>
      <c r="H277" s="49">
        <v>3270.2496729999998</v>
      </c>
      <c r="I277" s="49">
        <v>5549.0742733333336</v>
      </c>
      <c r="J277" s="49">
        <v>3766.9215449999997</v>
      </c>
      <c r="K277" s="49">
        <v>4567.3325349999996</v>
      </c>
      <c r="L277" s="49">
        <v>1658.2380349999999</v>
      </c>
      <c r="M277" s="49">
        <v>38.668450000000043</v>
      </c>
      <c r="N277" s="49">
        <v>0</v>
      </c>
      <c r="O277" s="49">
        <f t="shared" si="136"/>
        <v>565.63549499999999</v>
      </c>
      <c r="P277" s="49">
        <f t="shared" ref="P277:AA278" si="142">+O277</f>
        <v>565.63549499999999</v>
      </c>
      <c r="Q277" s="49">
        <f t="shared" si="142"/>
        <v>565.63549499999999</v>
      </c>
      <c r="R277" s="49">
        <f t="shared" si="142"/>
        <v>565.63549499999999</v>
      </c>
      <c r="S277" s="49">
        <f t="shared" si="142"/>
        <v>565.63549499999999</v>
      </c>
      <c r="T277" s="49">
        <f t="shared" si="142"/>
        <v>565.63549499999999</v>
      </c>
      <c r="U277" s="49">
        <f t="shared" si="142"/>
        <v>565.63549499999999</v>
      </c>
      <c r="V277" s="49">
        <f t="shared" si="142"/>
        <v>565.63549499999999</v>
      </c>
      <c r="W277" s="49">
        <f t="shared" si="142"/>
        <v>565.63549499999999</v>
      </c>
      <c r="X277" s="49">
        <f t="shared" si="142"/>
        <v>565.63549499999999</v>
      </c>
      <c r="Y277" s="49">
        <f t="shared" si="142"/>
        <v>565.63549499999999</v>
      </c>
      <c r="Z277" s="49">
        <f t="shared" si="142"/>
        <v>565.63549499999999</v>
      </c>
      <c r="AA277" s="49">
        <f t="shared" si="142"/>
        <v>565.63549499999999</v>
      </c>
    </row>
    <row r="278" spans="2:27" x14ac:dyDescent="0.3">
      <c r="B278" s="47" t="s">
        <v>173</v>
      </c>
      <c r="C278" s="110"/>
      <c r="D278" s="424"/>
      <c r="E278" s="434"/>
      <c r="F278" s="47"/>
      <c r="G278" s="49">
        <v>106123.25798427663</v>
      </c>
      <c r="H278" s="49">
        <v>124388.162</v>
      </c>
      <c r="I278" s="49">
        <v>135330.64200000002</v>
      </c>
      <c r="J278" s="49">
        <v>141958.08270668716</v>
      </c>
      <c r="K278" s="49">
        <v>127364.10300000003</v>
      </c>
      <c r="L278" s="49">
        <v>130614.54000000001</v>
      </c>
      <c r="M278" s="49">
        <v>50256.089999999975</v>
      </c>
      <c r="N278" s="49">
        <v>127227.77000000002</v>
      </c>
      <c r="O278" s="49">
        <f t="shared" si="136"/>
        <v>102699.46666666667</v>
      </c>
      <c r="P278" s="49">
        <f t="shared" si="142"/>
        <v>102699.46666666667</v>
      </c>
      <c r="Q278" s="49">
        <f t="shared" si="142"/>
        <v>102699.46666666667</v>
      </c>
      <c r="R278" s="49">
        <f t="shared" si="142"/>
        <v>102699.46666666667</v>
      </c>
      <c r="S278" s="49">
        <f t="shared" si="142"/>
        <v>102699.46666666667</v>
      </c>
      <c r="T278" s="49">
        <f t="shared" si="142"/>
        <v>102699.46666666667</v>
      </c>
      <c r="U278" s="49">
        <f t="shared" si="142"/>
        <v>102699.46666666667</v>
      </c>
      <c r="V278" s="49">
        <f t="shared" si="142"/>
        <v>102699.46666666667</v>
      </c>
      <c r="W278" s="49">
        <f t="shared" si="142"/>
        <v>102699.46666666667</v>
      </c>
      <c r="X278" s="49">
        <f t="shared" si="142"/>
        <v>102699.46666666667</v>
      </c>
      <c r="Y278" s="49">
        <f t="shared" si="142"/>
        <v>102699.46666666667</v>
      </c>
      <c r="Z278" s="49">
        <f t="shared" si="142"/>
        <v>102699.46666666667</v>
      </c>
      <c r="AA278" s="49">
        <f t="shared" si="142"/>
        <v>102699.46666666667</v>
      </c>
    </row>
    <row r="279" spans="2:27" x14ac:dyDescent="0.3">
      <c r="B279" s="57" t="s">
        <v>30</v>
      </c>
      <c r="C279" s="392"/>
      <c r="D279" s="57"/>
      <c r="E279" s="57"/>
      <c r="F279" s="57"/>
      <c r="G279" s="78"/>
      <c r="H279" s="78"/>
      <c r="I279" s="78"/>
      <c r="J279" s="78"/>
      <c r="K279" s="78"/>
      <c r="L279" s="78"/>
      <c r="M279" s="78"/>
      <c r="N279" s="78"/>
      <c r="O279" s="78"/>
      <c r="P279" s="78"/>
      <c r="Q279" s="78"/>
      <c r="R279" s="78"/>
      <c r="S279" s="78"/>
      <c r="T279" s="78"/>
      <c r="U279" s="78"/>
      <c r="V279" s="78"/>
      <c r="W279" s="78"/>
      <c r="X279" s="78"/>
      <c r="Y279" s="78"/>
      <c r="Z279" s="78"/>
      <c r="AA279" s="78"/>
    </row>
    <row r="280" spans="2:27" x14ac:dyDescent="0.3">
      <c r="B280" s="47" t="s">
        <v>145</v>
      </c>
      <c r="C280" s="110">
        <v>1939</v>
      </c>
      <c r="D280" s="426">
        <v>1.91</v>
      </c>
      <c r="E280" s="434"/>
      <c r="F280" s="47"/>
      <c r="G280" s="49">
        <v>12172.712</v>
      </c>
      <c r="H280" s="49">
        <v>11726.216</v>
      </c>
      <c r="I280" s="49">
        <v>12408.229999999998</v>
      </c>
      <c r="J280" s="49">
        <v>12482.189999999999</v>
      </c>
      <c r="K280" s="49">
        <v>11577.643</v>
      </c>
      <c r="L280" s="49">
        <v>11539.983</v>
      </c>
      <c r="M280" s="49">
        <v>9108.7590000000018</v>
      </c>
      <c r="N280" s="49">
        <v>10812.361999999999</v>
      </c>
      <c r="O280" s="49">
        <f t="shared" si="136"/>
        <v>10487.034666666666</v>
      </c>
      <c r="P280" s="49">
        <f t="shared" ref="P280:AA281" si="143">+O280</f>
        <v>10487.034666666666</v>
      </c>
      <c r="Q280" s="49">
        <f t="shared" si="143"/>
        <v>10487.034666666666</v>
      </c>
      <c r="R280" s="49">
        <f t="shared" si="143"/>
        <v>10487.034666666666</v>
      </c>
      <c r="S280" s="49">
        <f t="shared" si="143"/>
        <v>10487.034666666666</v>
      </c>
      <c r="T280" s="49">
        <f t="shared" si="143"/>
        <v>10487.034666666666</v>
      </c>
      <c r="U280" s="49">
        <f t="shared" si="143"/>
        <v>10487.034666666666</v>
      </c>
      <c r="V280" s="49">
        <f t="shared" si="143"/>
        <v>10487.034666666666</v>
      </c>
      <c r="W280" s="49">
        <f t="shared" si="143"/>
        <v>10487.034666666666</v>
      </c>
      <c r="X280" s="49">
        <f t="shared" si="143"/>
        <v>10487.034666666666</v>
      </c>
      <c r="Y280" s="49">
        <f t="shared" si="143"/>
        <v>10487.034666666666</v>
      </c>
      <c r="Z280" s="49">
        <f t="shared" si="143"/>
        <v>10487.034666666666</v>
      </c>
      <c r="AA280" s="49">
        <f t="shared" si="143"/>
        <v>10487.034666666666</v>
      </c>
    </row>
    <row r="281" spans="2:27" x14ac:dyDescent="0.3">
      <c r="B281" s="47" t="s">
        <v>146</v>
      </c>
      <c r="C281" s="110">
        <v>1944</v>
      </c>
      <c r="D281" s="426">
        <v>2.4500000000000002</v>
      </c>
      <c r="E281" s="434"/>
      <c r="F281" s="47"/>
      <c r="G281" s="49">
        <v>14106.915000000001</v>
      </c>
      <c r="H281" s="49">
        <v>13902.388999999999</v>
      </c>
      <c r="I281" s="49">
        <v>15012.157999999999</v>
      </c>
      <c r="J281" s="49">
        <v>15518.906999999997</v>
      </c>
      <c r="K281" s="49">
        <v>14227.504000000001</v>
      </c>
      <c r="L281" s="49">
        <v>14778.668000000003</v>
      </c>
      <c r="M281" s="49">
        <v>11847.556</v>
      </c>
      <c r="N281" s="49">
        <v>13785.387999999999</v>
      </c>
      <c r="O281" s="49">
        <f t="shared" si="136"/>
        <v>13470.537333333334</v>
      </c>
      <c r="P281" s="49">
        <f t="shared" si="143"/>
        <v>13470.537333333334</v>
      </c>
      <c r="Q281" s="49">
        <f t="shared" si="143"/>
        <v>13470.537333333334</v>
      </c>
      <c r="R281" s="49">
        <f t="shared" si="143"/>
        <v>13470.537333333334</v>
      </c>
      <c r="S281" s="49">
        <f t="shared" si="143"/>
        <v>13470.537333333334</v>
      </c>
      <c r="T281" s="49">
        <f t="shared" si="143"/>
        <v>13470.537333333334</v>
      </c>
      <c r="U281" s="49">
        <f t="shared" si="143"/>
        <v>13470.537333333334</v>
      </c>
      <c r="V281" s="49">
        <f t="shared" si="143"/>
        <v>13470.537333333334</v>
      </c>
      <c r="W281" s="49">
        <f t="shared" si="143"/>
        <v>13470.537333333334</v>
      </c>
      <c r="X281" s="49">
        <f t="shared" si="143"/>
        <v>13470.537333333334</v>
      </c>
      <c r="Y281" s="49">
        <f t="shared" si="143"/>
        <v>13470.537333333334</v>
      </c>
      <c r="Z281" s="49">
        <f t="shared" si="143"/>
        <v>13470.537333333334</v>
      </c>
      <c r="AA281" s="49">
        <f t="shared" si="143"/>
        <v>13470.537333333334</v>
      </c>
    </row>
    <row r="282" spans="2:27" x14ac:dyDescent="0.3">
      <c r="B282" s="47" t="s">
        <v>147</v>
      </c>
      <c r="C282" s="110">
        <v>1944</v>
      </c>
      <c r="D282" s="426">
        <v>1.84</v>
      </c>
      <c r="E282" s="434"/>
      <c r="F282" s="47"/>
      <c r="G282" s="49">
        <v>11843.383000000002</v>
      </c>
      <c r="H282" s="49">
        <v>11428.677</v>
      </c>
      <c r="I282" s="49">
        <v>12088.935999999998</v>
      </c>
      <c r="J282" s="49">
        <v>12150.215</v>
      </c>
      <c r="K282" s="49">
        <v>11142.393000000002</v>
      </c>
      <c r="L282" s="49">
        <v>11178.842000000001</v>
      </c>
      <c r="M282" s="49">
        <v>9006.9719999999979</v>
      </c>
      <c r="N282" s="49">
        <v>10677.777000000002</v>
      </c>
      <c r="O282" s="49">
        <f>+AVERAGE(L282:N282)</f>
        <v>10287.863666666666</v>
      </c>
      <c r="P282" s="49"/>
      <c r="Q282" s="49"/>
      <c r="R282" s="49"/>
      <c r="S282" s="49"/>
      <c r="T282" s="49"/>
      <c r="U282" s="49"/>
      <c r="V282" s="49"/>
      <c r="W282" s="49"/>
      <c r="X282" s="49"/>
      <c r="Y282" s="49"/>
      <c r="Z282" s="49"/>
      <c r="AA282" s="49"/>
    </row>
    <row r="283" spans="2:27" x14ac:dyDescent="0.3">
      <c r="B283" s="57" t="s">
        <v>31</v>
      </c>
      <c r="C283" s="392"/>
      <c r="D283" s="57"/>
      <c r="E283" s="57"/>
      <c r="F283" s="57"/>
      <c r="G283" s="78"/>
      <c r="H283" s="78"/>
      <c r="I283" s="78"/>
      <c r="J283" s="78"/>
      <c r="K283" s="78"/>
      <c r="L283" s="78"/>
      <c r="M283" s="78"/>
      <c r="N283" s="78"/>
      <c r="O283" s="78"/>
      <c r="P283" s="78"/>
      <c r="Q283" s="78"/>
      <c r="R283" s="78"/>
      <c r="S283" s="78"/>
      <c r="T283" s="78"/>
      <c r="U283" s="78"/>
      <c r="V283" s="78"/>
      <c r="W283" s="78"/>
      <c r="X283" s="78"/>
      <c r="Y283" s="78"/>
      <c r="Z283" s="78"/>
      <c r="AA283" s="78"/>
    </row>
    <row r="284" spans="2:27" x14ac:dyDescent="0.3">
      <c r="B284" s="47" t="s">
        <v>136</v>
      </c>
      <c r="C284" s="110">
        <v>1966</v>
      </c>
      <c r="D284" s="426">
        <v>13.18</v>
      </c>
      <c r="E284" s="47"/>
      <c r="F284" s="47"/>
      <c r="G284" s="49">
        <v>63528.492000000006</v>
      </c>
      <c r="H284" s="49">
        <v>66072.78</v>
      </c>
      <c r="I284" s="49">
        <v>69551.442999999999</v>
      </c>
      <c r="J284" s="49">
        <v>71908.643000000011</v>
      </c>
      <c r="K284" s="49">
        <v>64762.602000000014</v>
      </c>
      <c r="L284" s="49">
        <v>71255.490000000005</v>
      </c>
      <c r="M284" s="49">
        <v>53061.766000000011</v>
      </c>
      <c r="N284" s="49">
        <v>68171.011999999988</v>
      </c>
      <c r="O284" s="49">
        <f t="shared" ref="O284:O285" si="144">+AVERAGE(L284:N284)</f>
        <v>64162.756000000001</v>
      </c>
      <c r="P284" s="49">
        <f t="shared" ref="P284:AA285" si="145">+O284</f>
        <v>64162.756000000001</v>
      </c>
      <c r="Q284" s="49">
        <f t="shared" si="145"/>
        <v>64162.756000000001</v>
      </c>
      <c r="R284" s="49">
        <f t="shared" si="145"/>
        <v>64162.756000000001</v>
      </c>
      <c r="S284" s="49">
        <f t="shared" si="145"/>
        <v>64162.756000000001</v>
      </c>
      <c r="T284" s="49">
        <f t="shared" si="145"/>
        <v>64162.756000000001</v>
      </c>
      <c r="U284" s="49">
        <f t="shared" si="145"/>
        <v>64162.756000000001</v>
      </c>
      <c r="V284" s="49">
        <f t="shared" si="145"/>
        <v>64162.756000000001</v>
      </c>
      <c r="W284" s="49">
        <f t="shared" si="145"/>
        <v>64162.756000000001</v>
      </c>
      <c r="X284" s="49">
        <f t="shared" si="145"/>
        <v>64162.756000000001</v>
      </c>
      <c r="Y284" s="49">
        <f t="shared" si="145"/>
        <v>64162.756000000001</v>
      </c>
      <c r="Z284" s="49">
        <f t="shared" si="145"/>
        <v>64162.756000000001</v>
      </c>
      <c r="AA284" s="49">
        <f t="shared" si="145"/>
        <v>64162.756000000001</v>
      </c>
    </row>
    <row r="285" spans="2:27" x14ac:dyDescent="0.3">
      <c r="B285" s="47" t="s">
        <v>137</v>
      </c>
      <c r="C285" s="110">
        <v>1967</v>
      </c>
      <c r="D285" s="426">
        <v>12.21</v>
      </c>
      <c r="E285" s="47"/>
      <c r="F285" s="47"/>
      <c r="G285" s="49">
        <v>62589.967000000004</v>
      </c>
      <c r="H285" s="49">
        <v>67733.377999999997</v>
      </c>
      <c r="I285" s="49">
        <v>64736.137999999999</v>
      </c>
      <c r="J285" s="49">
        <v>72200.594999999987</v>
      </c>
      <c r="K285" s="49">
        <v>62725.933999999994</v>
      </c>
      <c r="L285" s="49">
        <v>67719.197</v>
      </c>
      <c r="M285" s="49">
        <v>53897.992999999995</v>
      </c>
      <c r="N285" s="49">
        <v>66329.928</v>
      </c>
      <c r="O285" s="49">
        <f t="shared" si="144"/>
        <v>62649.039333333341</v>
      </c>
      <c r="P285" s="49">
        <f t="shared" si="145"/>
        <v>62649.039333333341</v>
      </c>
      <c r="Q285" s="49">
        <f t="shared" si="145"/>
        <v>62649.039333333341</v>
      </c>
      <c r="R285" s="49">
        <f t="shared" si="145"/>
        <v>62649.039333333341</v>
      </c>
      <c r="S285" s="49">
        <f t="shared" si="145"/>
        <v>62649.039333333341</v>
      </c>
      <c r="T285" s="49">
        <f t="shared" si="145"/>
        <v>62649.039333333341</v>
      </c>
      <c r="U285" s="49">
        <f t="shared" si="145"/>
        <v>62649.039333333341</v>
      </c>
      <c r="V285" s="49">
        <f t="shared" si="145"/>
        <v>62649.039333333341</v>
      </c>
      <c r="W285" s="49">
        <f t="shared" si="145"/>
        <v>62649.039333333341</v>
      </c>
      <c r="X285" s="49">
        <f t="shared" si="145"/>
        <v>62649.039333333341</v>
      </c>
      <c r="Y285" s="49">
        <f t="shared" si="145"/>
        <v>62649.039333333341</v>
      </c>
      <c r="Z285" s="49">
        <f t="shared" si="145"/>
        <v>62649.039333333341</v>
      </c>
      <c r="AA285" s="49">
        <f t="shared" si="145"/>
        <v>62649.039333333341</v>
      </c>
    </row>
    <row r="286" spans="2:27" x14ac:dyDescent="0.3">
      <c r="B286" s="57" t="s">
        <v>3</v>
      </c>
      <c r="C286" s="392"/>
      <c r="D286" s="57"/>
      <c r="E286" s="57"/>
      <c r="F286" s="57"/>
      <c r="G286" s="78"/>
      <c r="H286" s="78"/>
      <c r="I286" s="78"/>
      <c r="J286" s="78"/>
      <c r="K286" s="78"/>
      <c r="L286" s="78"/>
      <c r="M286" s="78"/>
      <c r="N286" s="78"/>
      <c r="O286" s="78"/>
      <c r="P286" s="78"/>
      <c r="Q286" s="78"/>
      <c r="R286" s="78"/>
      <c r="S286" s="78"/>
      <c r="T286" s="78"/>
      <c r="U286" s="78"/>
      <c r="V286" s="78"/>
      <c r="W286" s="78"/>
      <c r="X286" s="78"/>
      <c r="Y286" s="78"/>
      <c r="Z286" s="78"/>
      <c r="AA286" s="78"/>
    </row>
    <row r="287" spans="2:27" x14ac:dyDescent="0.3">
      <c r="B287" s="47" t="s">
        <v>121</v>
      </c>
      <c r="C287" s="110" t="s">
        <v>474</v>
      </c>
      <c r="D287" s="426">
        <v>64.319999999999993</v>
      </c>
      <c r="E287" s="47"/>
      <c r="F287" s="47"/>
      <c r="G287" s="49">
        <v>280767.663</v>
      </c>
      <c r="H287" s="49">
        <v>317689.14</v>
      </c>
      <c r="I287" s="49">
        <v>325459.11999999994</v>
      </c>
      <c r="J287" s="49">
        <v>373791.26</v>
      </c>
      <c r="K287" s="49">
        <v>371305.77999999997</v>
      </c>
      <c r="L287" s="49">
        <v>377176.696</v>
      </c>
      <c r="M287" s="49">
        <v>214629.93900000001</v>
      </c>
      <c r="N287" s="49">
        <v>284284.71100000001</v>
      </c>
      <c r="O287" s="49">
        <f>+AVERAGE(L287:N287)</f>
        <v>292030.44866666669</v>
      </c>
      <c r="P287" s="49">
        <f>+O287</f>
        <v>292030.44866666669</v>
      </c>
      <c r="Q287" s="49">
        <f t="shared" ref="Q287:AA287" si="146">+P287</f>
        <v>292030.44866666669</v>
      </c>
      <c r="R287" s="49">
        <f t="shared" si="146"/>
        <v>292030.44866666669</v>
      </c>
      <c r="S287" s="49">
        <f t="shared" si="146"/>
        <v>292030.44866666669</v>
      </c>
      <c r="T287" s="49">
        <f t="shared" si="146"/>
        <v>292030.44866666669</v>
      </c>
      <c r="U287" s="49">
        <f t="shared" si="146"/>
        <v>292030.44866666669</v>
      </c>
      <c r="V287" s="49">
        <f t="shared" si="146"/>
        <v>292030.44866666669</v>
      </c>
      <c r="W287" s="49">
        <f t="shared" si="146"/>
        <v>292030.44866666669</v>
      </c>
      <c r="X287" s="49">
        <f t="shared" si="146"/>
        <v>292030.44866666669</v>
      </c>
      <c r="Y287" s="49">
        <f t="shared" si="146"/>
        <v>292030.44866666669</v>
      </c>
      <c r="Z287" s="49">
        <f t="shared" si="146"/>
        <v>292030.44866666669</v>
      </c>
      <c r="AA287" s="49">
        <f t="shared" si="146"/>
        <v>292030.44866666669</v>
      </c>
    </row>
    <row r="288" spans="2:27" x14ac:dyDescent="0.3">
      <c r="B288" s="57" t="s">
        <v>33</v>
      </c>
      <c r="C288" s="392"/>
      <c r="D288" s="57"/>
      <c r="E288" s="57"/>
      <c r="F288" s="57"/>
      <c r="G288" s="78"/>
      <c r="H288" s="78"/>
      <c r="I288" s="78"/>
      <c r="J288" s="78"/>
      <c r="K288" s="78"/>
      <c r="L288" s="78"/>
      <c r="M288" s="78"/>
      <c r="N288" s="78"/>
      <c r="O288" s="78"/>
      <c r="P288" s="78"/>
      <c r="Q288" s="78"/>
      <c r="R288" s="78"/>
      <c r="S288" s="78"/>
      <c r="T288" s="78"/>
      <c r="U288" s="78"/>
      <c r="V288" s="78"/>
      <c r="W288" s="78"/>
      <c r="X288" s="78"/>
      <c r="Y288" s="78"/>
      <c r="Z288" s="78"/>
      <c r="AA288" s="78"/>
    </row>
    <row r="289" spans="2:27" x14ac:dyDescent="0.3">
      <c r="B289" s="47" t="s">
        <v>128</v>
      </c>
      <c r="C289" s="110">
        <v>1942</v>
      </c>
      <c r="D289" s="426">
        <v>2.5</v>
      </c>
      <c r="E289" s="47"/>
      <c r="F289" s="47"/>
      <c r="G289" s="49">
        <v>7186.3240000000005</v>
      </c>
      <c r="H289" s="49">
        <v>9743.3469999999998</v>
      </c>
      <c r="I289" s="49">
        <v>9415.1349999999984</v>
      </c>
      <c r="J289" s="49">
        <v>6458.4300000000012</v>
      </c>
      <c r="K289" s="49">
        <v>5475.3140000000012</v>
      </c>
      <c r="L289" s="49">
        <v>14181.028999999999</v>
      </c>
      <c r="M289" s="49">
        <v>4440.6810000000005</v>
      </c>
      <c r="N289" s="49">
        <v>9498.8819999999996</v>
      </c>
      <c r="O289" s="49">
        <f>+AVERAGE(L289:N289)</f>
        <v>9373.5306666666656</v>
      </c>
      <c r="P289" s="49">
        <f t="shared" ref="P289:AA293" si="147">+O289</f>
        <v>9373.5306666666656</v>
      </c>
      <c r="Q289" s="49">
        <f t="shared" si="147"/>
        <v>9373.5306666666656</v>
      </c>
      <c r="R289" s="49">
        <f t="shared" si="147"/>
        <v>9373.5306666666656</v>
      </c>
      <c r="S289" s="49">
        <f t="shared" si="147"/>
        <v>9373.5306666666656</v>
      </c>
      <c r="T289" s="49">
        <f t="shared" si="147"/>
        <v>9373.5306666666656</v>
      </c>
      <c r="U289" s="49">
        <f t="shared" si="147"/>
        <v>9373.5306666666656</v>
      </c>
      <c r="V289" s="49">
        <f t="shared" si="147"/>
        <v>9373.5306666666656</v>
      </c>
      <c r="W289" s="49">
        <f t="shared" si="147"/>
        <v>9373.5306666666656</v>
      </c>
      <c r="X289" s="49">
        <f t="shared" si="147"/>
        <v>9373.5306666666656</v>
      </c>
      <c r="Y289" s="49">
        <f t="shared" si="147"/>
        <v>9373.5306666666656</v>
      </c>
      <c r="Z289" s="49">
        <f t="shared" si="147"/>
        <v>9373.5306666666656</v>
      </c>
      <c r="AA289" s="49">
        <f t="shared" si="147"/>
        <v>9373.5306666666656</v>
      </c>
    </row>
    <row r="290" spans="2:27" x14ac:dyDescent="0.3">
      <c r="B290" s="47" t="s">
        <v>129</v>
      </c>
      <c r="C290" s="110">
        <v>1943</v>
      </c>
      <c r="D290" s="426">
        <v>2.38</v>
      </c>
      <c r="E290" s="47"/>
      <c r="F290" s="47"/>
      <c r="G290" s="49">
        <v>6993.1389999999992</v>
      </c>
      <c r="H290" s="49">
        <v>9282.0769999999993</v>
      </c>
      <c r="I290" s="49">
        <v>8698.5240000000013</v>
      </c>
      <c r="J290" s="49">
        <v>5753.3399999999992</v>
      </c>
      <c r="K290" s="49">
        <v>4912.893</v>
      </c>
      <c r="L290" s="49">
        <v>12898.888999999999</v>
      </c>
      <c r="M290" s="49">
        <v>5619.9069999999992</v>
      </c>
      <c r="N290" s="49">
        <v>9023.6689999999999</v>
      </c>
      <c r="O290" s="49">
        <f t="shared" ref="O290:O299" si="148">+AVERAGE(L290:N290)</f>
        <v>9180.8216666666649</v>
      </c>
      <c r="P290" s="49">
        <f t="shared" si="147"/>
        <v>9180.8216666666649</v>
      </c>
      <c r="Q290" s="49">
        <f t="shared" si="147"/>
        <v>9180.8216666666649</v>
      </c>
      <c r="R290" s="49">
        <f t="shared" si="147"/>
        <v>9180.8216666666649</v>
      </c>
      <c r="S290" s="49">
        <f t="shared" si="147"/>
        <v>9180.8216666666649</v>
      </c>
      <c r="T290" s="49">
        <f t="shared" si="147"/>
        <v>9180.8216666666649</v>
      </c>
      <c r="U290" s="49">
        <f t="shared" si="147"/>
        <v>9180.8216666666649</v>
      </c>
      <c r="V290" s="49">
        <f t="shared" si="147"/>
        <v>9180.8216666666649</v>
      </c>
      <c r="W290" s="49">
        <f t="shared" si="147"/>
        <v>9180.8216666666649</v>
      </c>
      <c r="X290" s="49">
        <f t="shared" si="147"/>
        <v>9180.8216666666649</v>
      </c>
      <c r="Y290" s="49">
        <f t="shared" si="147"/>
        <v>9180.8216666666649</v>
      </c>
      <c r="Z290" s="49">
        <f t="shared" si="147"/>
        <v>9180.8216666666649</v>
      </c>
      <c r="AA290" s="49">
        <f t="shared" si="147"/>
        <v>9180.8216666666649</v>
      </c>
    </row>
    <row r="291" spans="2:27" x14ac:dyDescent="0.3">
      <c r="B291" s="47" t="s">
        <v>130</v>
      </c>
      <c r="C291" s="110">
        <v>1945</v>
      </c>
      <c r="D291" s="426">
        <v>2.2999999999999998</v>
      </c>
      <c r="E291" s="47"/>
      <c r="F291" s="47"/>
      <c r="G291" s="49">
        <v>6822.6170000000011</v>
      </c>
      <c r="H291" s="49">
        <v>9067.5030000000006</v>
      </c>
      <c r="I291" s="49">
        <v>8820.1739999999991</v>
      </c>
      <c r="J291" s="49">
        <v>6045.0469999999987</v>
      </c>
      <c r="K291" s="49">
        <v>5060.7860000000001</v>
      </c>
      <c r="L291" s="49">
        <v>13386.753999999999</v>
      </c>
      <c r="M291" s="49">
        <v>5422.3110000000006</v>
      </c>
      <c r="N291" s="49">
        <v>8865.5539999999983</v>
      </c>
      <c r="O291" s="49">
        <f t="shared" si="148"/>
        <v>9224.8729999999996</v>
      </c>
      <c r="P291" s="49">
        <f t="shared" si="147"/>
        <v>9224.8729999999996</v>
      </c>
      <c r="Q291" s="49">
        <f t="shared" si="147"/>
        <v>9224.8729999999996</v>
      </c>
      <c r="R291" s="49">
        <f t="shared" si="147"/>
        <v>9224.8729999999996</v>
      </c>
      <c r="S291" s="49">
        <f t="shared" si="147"/>
        <v>9224.8729999999996</v>
      </c>
      <c r="T291" s="49">
        <f t="shared" si="147"/>
        <v>9224.8729999999996</v>
      </c>
      <c r="U291" s="49">
        <f t="shared" si="147"/>
        <v>9224.8729999999996</v>
      </c>
      <c r="V291" s="49">
        <f t="shared" si="147"/>
        <v>9224.8729999999996</v>
      </c>
      <c r="W291" s="49">
        <f t="shared" si="147"/>
        <v>9224.8729999999996</v>
      </c>
      <c r="X291" s="49">
        <f t="shared" si="147"/>
        <v>9224.8729999999996</v>
      </c>
      <c r="Y291" s="49">
        <f t="shared" si="147"/>
        <v>9224.8729999999996</v>
      </c>
      <c r="Z291" s="49">
        <f t="shared" si="147"/>
        <v>9224.8729999999996</v>
      </c>
      <c r="AA291" s="49">
        <f t="shared" si="147"/>
        <v>9224.8729999999996</v>
      </c>
    </row>
    <row r="292" spans="2:27" x14ac:dyDescent="0.3">
      <c r="B292" s="47" t="s">
        <v>131</v>
      </c>
      <c r="C292" s="110">
        <v>1958</v>
      </c>
      <c r="D292" s="426">
        <v>1.49</v>
      </c>
      <c r="E292" s="47"/>
      <c r="F292" s="47"/>
      <c r="G292" s="49">
        <v>5297.4830000000002</v>
      </c>
      <c r="H292" s="49">
        <v>6581.7929999999997</v>
      </c>
      <c r="I292" s="49">
        <v>6336.6400000000012</v>
      </c>
      <c r="J292" s="49">
        <v>4570.0379999999996</v>
      </c>
      <c r="K292" s="49">
        <v>3245.1849999999999</v>
      </c>
      <c r="L292" s="49">
        <v>6687.3670912745001</v>
      </c>
      <c r="M292" s="49">
        <v>2561.4390000000003</v>
      </c>
      <c r="N292" s="49">
        <v>4531.527000000001</v>
      </c>
      <c r="O292" s="49">
        <f t="shared" si="148"/>
        <v>4593.4443637581671</v>
      </c>
      <c r="P292" s="49">
        <f t="shared" si="147"/>
        <v>4593.4443637581671</v>
      </c>
      <c r="Q292" s="49">
        <f t="shared" si="147"/>
        <v>4593.4443637581671</v>
      </c>
      <c r="R292" s="49">
        <f t="shared" si="147"/>
        <v>4593.4443637581671</v>
      </c>
      <c r="S292" s="49">
        <f t="shared" si="147"/>
        <v>4593.4443637581671</v>
      </c>
      <c r="T292" s="49">
        <f t="shared" si="147"/>
        <v>4593.4443637581671</v>
      </c>
      <c r="U292" s="49">
        <f t="shared" si="147"/>
        <v>4593.4443637581671</v>
      </c>
      <c r="V292" s="49">
        <f t="shared" si="147"/>
        <v>4593.4443637581671</v>
      </c>
      <c r="W292" s="49">
        <f t="shared" si="147"/>
        <v>4593.4443637581671</v>
      </c>
      <c r="X292" s="49">
        <f t="shared" si="147"/>
        <v>4593.4443637581671</v>
      </c>
      <c r="Y292" s="49">
        <f t="shared" si="147"/>
        <v>4593.4443637581671</v>
      </c>
      <c r="Z292" s="49">
        <f t="shared" si="147"/>
        <v>4593.4443637581671</v>
      </c>
      <c r="AA292" s="49">
        <f t="shared" si="147"/>
        <v>4593.4443637581671</v>
      </c>
    </row>
    <row r="293" spans="2:27" x14ac:dyDescent="0.3">
      <c r="B293" s="47" t="s">
        <v>132</v>
      </c>
      <c r="C293" s="110">
        <v>1998</v>
      </c>
      <c r="D293" s="426">
        <v>14.3</v>
      </c>
      <c r="E293" s="47"/>
      <c r="F293" s="47"/>
      <c r="G293" s="49">
        <v>90321.68</v>
      </c>
      <c r="H293" s="49">
        <v>94885.142000000007</v>
      </c>
      <c r="I293" s="49">
        <v>92591.819999999992</v>
      </c>
      <c r="J293" s="49">
        <v>80968.934000000008</v>
      </c>
      <c r="K293" s="49">
        <v>71783.653000000006</v>
      </c>
      <c r="L293" s="49">
        <v>80462.043000000005</v>
      </c>
      <c r="M293" s="49">
        <v>75993.778999999995</v>
      </c>
      <c r="N293" s="49">
        <v>96164.228000000003</v>
      </c>
      <c r="O293" s="49">
        <f t="shared" si="148"/>
        <v>84206.683333333334</v>
      </c>
      <c r="P293" s="49">
        <f t="shared" si="147"/>
        <v>84206.683333333334</v>
      </c>
      <c r="Q293" s="49">
        <f t="shared" si="147"/>
        <v>84206.683333333334</v>
      </c>
      <c r="R293" s="49">
        <f t="shared" si="147"/>
        <v>84206.683333333334</v>
      </c>
      <c r="S293" s="49">
        <f t="shared" si="147"/>
        <v>84206.683333333334</v>
      </c>
      <c r="T293" s="49">
        <f t="shared" si="147"/>
        <v>84206.683333333334</v>
      </c>
      <c r="U293" s="49">
        <f t="shared" si="147"/>
        <v>84206.683333333334</v>
      </c>
      <c r="V293" s="49">
        <f t="shared" si="147"/>
        <v>84206.683333333334</v>
      </c>
      <c r="W293" s="49">
        <f t="shared" si="147"/>
        <v>84206.683333333334</v>
      </c>
      <c r="X293" s="49">
        <f t="shared" si="147"/>
        <v>84206.683333333334</v>
      </c>
      <c r="Y293" s="49">
        <f t="shared" si="147"/>
        <v>84206.683333333334</v>
      </c>
      <c r="Z293" s="49">
        <f t="shared" si="147"/>
        <v>84206.683333333334</v>
      </c>
      <c r="AA293" s="49">
        <f t="shared" si="147"/>
        <v>84206.683333333334</v>
      </c>
    </row>
    <row r="294" spans="2:27" x14ac:dyDescent="0.3">
      <c r="B294" s="57" t="s">
        <v>34</v>
      </c>
      <c r="C294" s="392"/>
      <c r="D294" s="57"/>
      <c r="E294" s="57"/>
      <c r="F294" s="57"/>
      <c r="G294" s="78"/>
      <c r="H294" s="78"/>
      <c r="I294" s="78"/>
      <c r="J294" s="78"/>
      <c r="K294" s="78"/>
      <c r="L294" s="78"/>
      <c r="M294" s="78"/>
      <c r="N294" s="78"/>
      <c r="O294" s="78"/>
      <c r="P294" s="78"/>
      <c r="Q294" s="78"/>
      <c r="R294" s="78"/>
      <c r="S294" s="78"/>
      <c r="T294" s="78"/>
      <c r="U294" s="78"/>
      <c r="V294" s="78"/>
      <c r="W294" s="78"/>
      <c r="X294" s="78"/>
      <c r="Y294" s="78"/>
      <c r="Z294" s="78"/>
      <c r="AA294" s="78"/>
    </row>
    <row r="295" spans="2:27" x14ac:dyDescent="0.3">
      <c r="B295" s="47" t="s">
        <v>138</v>
      </c>
      <c r="C295" s="110">
        <v>1969</v>
      </c>
      <c r="D295" s="426">
        <v>13.53</v>
      </c>
      <c r="E295" s="47"/>
      <c r="F295" s="47"/>
      <c r="G295" s="49">
        <v>79080.590999999986</v>
      </c>
      <c r="H295" s="49">
        <v>83215.97</v>
      </c>
      <c r="I295" s="49">
        <v>78452.136999999988</v>
      </c>
      <c r="J295" s="49">
        <v>86076.892000000022</v>
      </c>
      <c r="K295" s="49">
        <v>78528.325000000012</v>
      </c>
      <c r="L295" s="49">
        <v>81849.416999999987</v>
      </c>
      <c r="M295" s="49">
        <v>63047.572</v>
      </c>
      <c r="N295" s="49">
        <v>79535.85500000001</v>
      </c>
      <c r="O295" s="49">
        <f t="shared" si="148"/>
        <v>74810.948000000004</v>
      </c>
      <c r="P295" s="49">
        <f t="shared" ref="P295:AA296" si="149">+O295</f>
        <v>74810.948000000004</v>
      </c>
      <c r="Q295" s="49">
        <f t="shared" si="149"/>
        <v>74810.948000000004</v>
      </c>
      <c r="R295" s="49">
        <f t="shared" si="149"/>
        <v>74810.948000000004</v>
      </c>
      <c r="S295" s="49">
        <f t="shared" si="149"/>
        <v>74810.948000000004</v>
      </c>
      <c r="T295" s="49">
        <f t="shared" si="149"/>
        <v>74810.948000000004</v>
      </c>
      <c r="U295" s="49">
        <f t="shared" si="149"/>
        <v>74810.948000000004</v>
      </c>
      <c r="V295" s="49">
        <f t="shared" si="149"/>
        <v>74810.948000000004</v>
      </c>
      <c r="W295" s="49">
        <f t="shared" si="149"/>
        <v>74810.948000000004</v>
      </c>
      <c r="X295" s="49">
        <f t="shared" si="149"/>
        <v>74810.948000000004</v>
      </c>
      <c r="Y295" s="49">
        <f t="shared" si="149"/>
        <v>74810.948000000004</v>
      </c>
      <c r="Z295" s="49">
        <f t="shared" si="149"/>
        <v>74810.948000000004</v>
      </c>
      <c r="AA295" s="49">
        <f t="shared" si="149"/>
        <v>74810.948000000004</v>
      </c>
    </row>
    <row r="296" spans="2:27" x14ac:dyDescent="0.3">
      <c r="B296" s="47" t="s">
        <v>139</v>
      </c>
      <c r="C296" s="110">
        <v>1969</v>
      </c>
      <c r="D296" s="426">
        <v>12.32</v>
      </c>
      <c r="E296" s="47"/>
      <c r="F296" s="47"/>
      <c r="G296" s="49">
        <v>77042.933999999994</v>
      </c>
      <c r="H296" s="49">
        <v>78275.415999999997</v>
      </c>
      <c r="I296" s="49">
        <v>73415.542000000016</v>
      </c>
      <c r="J296" s="49">
        <v>79960.05799999999</v>
      </c>
      <c r="K296" s="49">
        <v>77429.541999999987</v>
      </c>
      <c r="L296" s="49">
        <v>80452.606</v>
      </c>
      <c r="M296" s="49">
        <v>61868.472999999998</v>
      </c>
      <c r="N296" s="49">
        <v>81530.162000000011</v>
      </c>
      <c r="O296" s="49">
        <f t="shared" si="148"/>
        <v>74617.080333333332</v>
      </c>
      <c r="P296" s="49">
        <f t="shared" si="149"/>
        <v>74617.080333333332</v>
      </c>
      <c r="Q296" s="49">
        <f t="shared" si="149"/>
        <v>74617.080333333332</v>
      </c>
      <c r="R296" s="49">
        <f t="shared" si="149"/>
        <v>74617.080333333332</v>
      </c>
      <c r="S296" s="49">
        <f t="shared" si="149"/>
        <v>74617.080333333332</v>
      </c>
      <c r="T296" s="49">
        <f t="shared" si="149"/>
        <v>74617.080333333332</v>
      </c>
      <c r="U296" s="49">
        <f t="shared" si="149"/>
        <v>74617.080333333332</v>
      </c>
      <c r="V296" s="49">
        <f t="shared" si="149"/>
        <v>74617.080333333332</v>
      </c>
      <c r="W296" s="49">
        <f t="shared" si="149"/>
        <v>74617.080333333332</v>
      </c>
      <c r="X296" s="49">
        <f t="shared" si="149"/>
        <v>74617.080333333332</v>
      </c>
      <c r="Y296" s="49">
        <f t="shared" si="149"/>
        <v>74617.080333333332</v>
      </c>
      <c r="Z296" s="49">
        <f t="shared" si="149"/>
        <v>74617.080333333332</v>
      </c>
      <c r="AA296" s="49">
        <f t="shared" si="149"/>
        <v>74617.080333333332</v>
      </c>
    </row>
    <row r="297" spans="2:27" x14ac:dyDescent="0.3">
      <c r="B297" s="57" t="s">
        <v>35</v>
      </c>
      <c r="C297" s="392"/>
      <c r="D297" s="57"/>
      <c r="E297" s="57"/>
      <c r="F297" s="57"/>
      <c r="G297" s="78"/>
      <c r="H297" s="78"/>
      <c r="I297" s="78"/>
      <c r="J297" s="78"/>
      <c r="K297" s="78"/>
      <c r="L297" s="78"/>
      <c r="M297" s="78"/>
      <c r="N297" s="78"/>
      <c r="O297" s="78"/>
      <c r="P297" s="78"/>
      <c r="Q297" s="78"/>
      <c r="R297" s="78"/>
      <c r="S297" s="78"/>
      <c r="T297" s="78"/>
      <c r="U297" s="78"/>
      <c r="V297" s="78"/>
      <c r="W297" s="78"/>
      <c r="X297" s="78"/>
      <c r="Y297" s="78"/>
      <c r="Z297" s="78"/>
      <c r="AA297" s="78"/>
    </row>
    <row r="298" spans="2:27" x14ac:dyDescent="0.3">
      <c r="B298" s="47" t="s">
        <v>158</v>
      </c>
      <c r="C298" s="110">
        <v>1999</v>
      </c>
      <c r="D298" s="426">
        <v>15.1</v>
      </c>
      <c r="E298" s="47"/>
      <c r="F298" s="47"/>
      <c r="G298" s="49">
        <v>95760.286999999982</v>
      </c>
      <c r="H298" s="49">
        <v>95144.05</v>
      </c>
      <c r="I298" s="49">
        <v>95119.72</v>
      </c>
      <c r="J298" s="49">
        <v>105447.58899999999</v>
      </c>
      <c r="K298" s="49">
        <v>99009.819000000003</v>
      </c>
      <c r="L298" s="49">
        <v>86632.661000000007</v>
      </c>
      <c r="M298" s="49">
        <v>79958.990999999995</v>
      </c>
      <c r="N298" s="49">
        <v>91011.156999999992</v>
      </c>
      <c r="O298" s="49">
        <f t="shared" si="148"/>
        <v>85867.603000000003</v>
      </c>
      <c r="P298" s="49">
        <f>+O298</f>
        <v>85867.603000000003</v>
      </c>
      <c r="Q298" s="49">
        <f t="shared" ref="Q298:AA305" si="150">+P298</f>
        <v>85867.603000000003</v>
      </c>
      <c r="R298" s="49">
        <f t="shared" si="150"/>
        <v>85867.603000000003</v>
      </c>
      <c r="S298" s="49">
        <f t="shared" si="150"/>
        <v>85867.603000000003</v>
      </c>
      <c r="T298" s="49">
        <f t="shared" si="150"/>
        <v>85867.603000000003</v>
      </c>
      <c r="U298" s="49">
        <f t="shared" si="150"/>
        <v>85867.603000000003</v>
      </c>
      <c r="V298" s="49">
        <f t="shared" si="150"/>
        <v>85867.603000000003</v>
      </c>
      <c r="W298" s="49">
        <f t="shared" si="150"/>
        <v>85867.603000000003</v>
      </c>
      <c r="X298" s="49">
        <f t="shared" si="150"/>
        <v>85867.603000000003</v>
      </c>
      <c r="Y298" s="49">
        <f t="shared" si="150"/>
        <v>85867.603000000003</v>
      </c>
      <c r="Z298" s="49">
        <f t="shared" si="150"/>
        <v>85867.603000000003</v>
      </c>
      <c r="AA298" s="49">
        <f t="shared" si="150"/>
        <v>85867.603000000003</v>
      </c>
    </row>
    <row r="299" spans="2:27" x14ac:dyDescent="0.3">
      <c r="B299" s="47" t="s">
        <v>159</v>
      </c>
      <c r="C299" s="110">
        <v>1999</v>
      </c>
      <c r="D299" s="426">
        <v>15.05</v>
      </c>
      <c r="E299" s="47"/>
      <c r="F299" s="47"/>
      <c r="G299" s="49">
        <v>93799.604999999996</v>
      </c>
      <c r="H299" s="49">
        <v>98539.03</v>
      </c>
      <c r="I299" s="49">
        <v>94138.09</v>
      </c>
      <c r="J299" s="49">
        <v>99492.22</v>
      </c>
      <c r="K299" s="49">
        <v>99241.433000000005</v>
      </c>
      <c r="L299" s="49">
        <v>93811.007999999987</v>
      </c>
      <c r="M299" s="49">
        <v>82387.252999999997</v>
      </c>
      <c r="N299" s="49">
        <v>99447.379000000015</v>
      </c>
      <c r="O299" s="49">
        <f t="shared" si="148"/>
        <v>91881.88</v>
      </c>
      <c r="P299" s="49">
        <f>+O299</f>
        <v>91881.88</v>
      </c>
      <c r="Q299" s="49">
        <f t="shared" si="150"/>
        <v>91881.88</v>
      </c>
      <c r="R299" s="49">
        <f t="shared" si="150"/>
        <v>91881.88</v>
      </c>
      <c r="S299" s="49">
        <f t="shared" si="150"/>
        <v>91881.88</v>
      </c>
      <c r="T299" s="49">
        <f t="shared" si="150"/>
        <v>91881.88</v>
      </c>
      <c r="U299" s="49">
        <f t="shared" si="150"/>
        <v>91881.88</v>
      </c>
      <c r="V299" s="49">
        <f t="shared" si="150"/>
        <v>91881.88</v>
      </c>
      <c r="W299" s="49">
        <f t="shared" si="150"/>
        <v>91881.88</v>
      </c>
      <c r="X299" s="49">
        <f t="shared" si="150"/>
        <v>91881.88</v>
      </c>
      <c r="Y299" s="49">
        <f t="shared" si="150"/>
        <v>91881.88</v>
      </c>
      <c r="Z299" s="49">
        <f t="shared" si="150"/>
        <v>91881.88</v>
      </c>
      <c r="AA299" s="49">
        <f t="shared" si="150"/>
        <v>91881.88</v>
      </c>
    </row>
    <row r="300" spans="2:27" x14ac:dyDescent="0.3">
      <c r="B300" s="57" t="s">
        <v>4</v>
      </c>
      <c r="C300" s="392"/>
      <c r="D300" s="57"/>
      <c r="E300" s="57"/>
      <c r="F300" s="57"/>
      <c r="G300" s="78"/>
      <c r="H300" s="78"/>
      <c r="I300" s="78"/>
      <c r="J300" s="78"/>
      <c r="K300" s="78"/>
      <c r="L300" s="78"/>
      <c r="M300" s="78"/>
      <c r="N300" s="78"/>
      <c r="O300" s="78"/>
      <c r="P300" s="78"/>
      <c r="Q300" s="78"/>
      <c r="R300" s="78"/>
      <c r="S300" s="78"/>
      <c r="T300" s="78"/>
      <c r="U300" s="78"/>
      <c r="V300" s="78"/>
      <c r="W300" s="78"/>
      <c r="X300" s="78"/>
      <c r="Y300" s="78"/>
      <c r="Z300" s="78"/>
      <c r="AA300" s="78"/>
    </row>
    <row r="301" spans="2:27" x14ac:dyDescent="0.3">
      <c r="B301" s="47" t="s">
        <v>151</v>
      </c>
      <c r="C301" s="110">
        <v>1999</v>
      </c>
      <c r="D301" s="426">
        <v>7.54</v>
      </c>
      <c r="E301" s="47"/>
      <c r="F301" s="47"/>
      <c r="G301" s="49">
        <v>14119.3</v>
      </c>
      <c r="H301" s="49">
        <v>19288.97</v>
      </c>
      <c r="I301" s="49">
        <v>20815.78</v>
      </c>
      <c r="J301" s="49">
        <v>16358.64</v>
      </c>
      <c r="K301" s="49">
        <v>19804.840000000004</v>
      </c>
      <c r="L301" s="49">
        <v>17612.39</v>
      </c>
      <c r="M301" s="49">
        <v>12031.66</v>
      </c>
      <c r="N301" s="49">
        <v>10963.130000000001</v>
      </c>
      <c r="O301" s="49">
        <f t="shared" ref="O301" si="151">+AVERAGE(L301:N301)</f>
        <v>13535.726666666667</v>
      </c>
      <c r="P301" s="49">
        <f>+O301</f>
        <v>13535.726666666667</v>
      </c>
      <c r="Q301" s="49">
        <f t="shared" si="150"/>
        <v>13535.726666666667</v>
      </c>
      <c r="R301" s="49">
        <f t="shared" si="150"/>
        <v>13535.726666666667</v>
      </c>
      <c r="S301" s="49">
        <f t="shared" si="150"/>
        <v>13535.726666666667</v>
      </c>
      <c r="T301" s="49">
        <f t="shared" si="150"/>
        <v>13535.726666666667</v>
      </c>
      <c r="U301" s="49">
        <f t="shared" si="150"/>
        <v>13535.726666666667</v>
      </c>
      <c r="V301" s="49">
        <f t="shared" si="150"/>
        <v>13535.726666666667</v>
      </c>
      <c r="W301" s="49">
        <f t="shared" si="150"/>
        <v>13535.726666666667</v>
      </c>
      <c r="X301" s="49">
        <f t="shared" si="150"/>
        <v>13535.726666666667</v>
      </c>
      <c r="Y301" s="49">
        <f t="shared" si="150"/>
        <v>13535.726666666667</v>
      </c>
      <c r="Z301" s="49">
        <f t="shared" si="150"/>
        <v>13535.726666666667</v>
      </c>
      <c r="AA301" s="49">
        <f t="shared" si="150"/>
        <v>13535.726666666667</v>
      </c>
    </row>
    <row r="302" spans="2:27" x14ac:dyDescent="0.3">
      <c r="B302" s="57" t="s">
        <v>36</v>
      </c>
      <c r="C302" s="392"/>
      <c r="D302" s="57"/>
      <c r="E302" s="57"/>
      <c r="F302" s="57"/>
      <c r="G302" s="78"/>
      <c r="H302" s="78"/>
      <c r="I302" s="78"/>
      <c r="J302" s="78"/>
      <c r="K302" s="78"/>
      <c r="L302" s="78"/>
      <c r="M302" s="78"/>
      <c r="N302" s="78"/>
      <c r="O302" s="78"/>
      <c r="P302" s="78"/>
      <c r="Q302" s="78"/>
      <c r="R302" s="78"/>
      <c r="S302" s="78"/>
      <c r="T302" s="78"/>
      <c r="U302" s="78"/>
      <c r="V302" s="78"/>
      <c r="W302" s="78"/>
      <c r="X302" s="78"/>
      <c r="Y302" s="78"/>
      <c r="Z302" s="78"/>
      <c r="AA302" s="78"/>
    </row>
    <row r="303" spans="2:27" x14ac:dyDescent="0.3">
      <c r="B303" s="47" t="s">
        <v>152</v>
      </c>
      <c r="C303" s="110" t="s">
        <v>475</v>
      </c>
      <c r="D303" s="426">
        <v>11.49</v>
      </c>
      <c r="E303" s="47"/>
      <c r="F303" s="47"/>
      <c r="G303" s="49">
        <v>40270.455000000002</v>
      </c>
      <c r="H303" s="49">
        <v>38528.400999999998</v>
      </c>
      <c r="I303" s="49">
        <v>41587.581999999995</v>
      </c>
      <c r="J303" s="49">
        <v>42148.481999999996</v>
      </c>
      <c r="K303" s="49">
        <v>45154.620999999999</v>
      </c>
      <c r="L303" s="49">
        <v>41357.006000000001</v>
      </c>
      <c r="M303" s="49">
        <v>32860.883000000002</v>
      </c>
      <c r="N303" s="49">
        <v>31306.786999999997</v>
      </c>
      <c r="O303" s="49">
        <f t="shared" ref="O303" si="152">+AVERAGE(L303:N303)</f>
        <v>35174.892</v>
      </c>
      <c r="P303" s="49">
        <f>+O303</f>
        <v>35174.892</v>
      </c>
      <c r="Q303" s="49">
        <f t="shared" si="150"/>
        <v>35174.892</v>
      </c>
      <c r="R303" s="49">
        <f t="shared" si="150"/>
        <v>35174.892</v>
      </c>
      <c r="S303" s="49">
        <f t="shared" si="150"/>
        <v>35174.892</v>
      </c>
      <c r="T303" s="49">
        <f t="shared" si="150"/>
        <v>35174.892</v>
      </c>
      <c r="U303" s="49">
        <f t="shared" si="150"/>
        <v>35174.892</v>
      </c>
      <c r="V303" s="49">
        <f t="shared" si="150"/>
        <v>35174.892</v>
      </c>
      <c r="W303" s="49">
        <f t="shared" si="150"/>
        <v>35174.892</v>
      </c>
      <c r="X303" s="49">
        <f t="shared" si="150"/>
        <v>35174.892</v>
      </c>
      <c r="Y303" s="49">
        <f t="shared" si="150"/>
        <v>35174.892</v>
      </c>
      <c r="Z303" s="49">
        <f t="shared" si="150"/>
        <v>35174.892</v>
      </c>
      <c r="AA303" s="49">
        <f t="shared" si="150"/>
        <v>35174.892</v>
      </c>
    </row>
    <row r="304" spans="2:27" x14ac:dyDescent="0.3">
      <c r="B304" s="57" t="s">
        <v>37</v>
      </c>
      <c r="C304" s="392"/>
      <c r="D304" s="57"/>
      <c r="E304" s="57"/>
      <c r="F304" s="57"/>
      <c r="G304" s="78"/>
      <c r="H304" s="78"/>
      <c r="I304" s="78"/>
      <c r="J304" s="78"/>
      <c r="K304" s="78"/>
      <c r="L304" s="78"/>
      <c r="M304" s="78"/>
      <c r="N304" s="78"/>
      <c r="O304" s="78"/>
      <c r="P304" s="78"/>
      <c r="Q304" s="78"/>
      <c r="R304" s="78"/>
      <c r="S304" s="78"/>
      <c r="T304" s="78"/>
      <c r="U304" s="78"/>
      <c r="V304" s="78"/>
      <c r="W304" s="78"/>
      <c r="X304" s="78"/>
      <c r="Y304" s="78"/>
      <c r="Z304" s="78"/>
      <c r="AA304" s="78"/>
    </row>
    <row r="305" spans="2:27" x14ac:dyDescent="0.3">
      <c r="B305" s="47" t="s">
        <v>153</v>
      </c>
      <c r="C305" s="110" t="s">
        <v>475</v>
      </c>
      <c r="D305" s="426">
        <v>5.15</v>
      </c>
      <c r="E305" s="47"/>
      <c r="F305" s="47"/>
      <c r="G305" s="49">
        <v>14596.415000000001</v>
      </c>
      <c r="H305" s="49">
        <v>17363.156999999999</v>
      </c>
      <c r="I305" s="49">
        <v>17535.357</v>
      </c>
      <c r="J305" s="49">
        <v>18995.719000000001</v>
      </c>
      <c r="K305" s="49">
        <v>22123.662000000004</v>
      </c>
      <c r="L305" s="49">
        <v>18022.292999999998</v>
      </c>
      <c r="M305" s="49">
        <v>14087.349</v>
      </c>
      <c r="N305" s="49">
        <v>14473.441999999999</v>
      </c>
      <c r="O305" s="49">
        <f t="shared" ref="O305" si="153">+AVERAGE(L305:N305)</f>
        <v>15527.694666666668</v>
      </c>
      <c r="P305" s="49">
        <f>+O305</f>
        <v>15527.694666666668</v>
      </c>
      <c r="Q305" s="49">
        <f t="shared" si="150"/>
        <v>15527.694666666668</v>
      </c>
      <c r="R305" s="49">
        <f t="shared" si="150"/>
        <v>15527.694666666668</v>
      </c>
      <c r="S305" s="49">
        <f t="shared" si="150"/>
        <v>15527.694666666668</v>
      </c>
      <c r="T305" s="49">
        <f t="shared" si="150"/>
        <v>15527.694666666668</v>
      </c>
      <c r="U305" s="49">
        <f t="shared" si="150"/>
        <v>15527.694666666668</v>
      </c>
      <c r="V305" s="49">
        <f t="shared" si="150"/>
        <v>15527.694666666668</v>
      </c>
      <c r="W305" s="49">
        <f t="shared" si="150"/>
        <v>15527.694666666668</v>
      </c>
      <c r="X305" s="49">
        <f t="shared" si="150"/>
        <v>15527.694666666668</v>
      </c>
      <c r="Y305" s="49">
        <f t="shared" si="150"/>
        <v>15527.694666666668</v>
      </c>
      <c r="Z305" s="49">
        <f t="shared" si="150"/>
        <v>15527.694666666668</v>
      </c>
      <c r="AA305" s="49">
        <f t="shared" si="150"/>
        <v>15527.694666666668</v>
      </c>
    </row>
    <row r="306" spans="2:27" x14ac:dyDescent="0.3">
      <c r="B306" s="57" t="s">
        <v>38</v>
      </c>
      <c r="C306" s="392"/>
      <c r="D306" s="57"/>
      <c r="E306" s="57"/>
      <c r="F306" s="57"/>
      <c r="G306" s="78"/>
      <c r="H306" s="78"/>
      <c r="I306" s="78"/>
      <c r="J306" s="78"/>
      <c r="K306" s="78"/>
      <c r="L306" s="78"/>
      <c r="M306" s="78"/>
      <c r="N306" s="78"/>
      <c r="O306" s="78"/>
      <c r="P306" s="78"/>
      <c r="Q306" s="78"/>
      <c r="R306" s="78"/>
      <c r="S306" s="78"/>
      <c r="T306" s="78"/>
      <c r="U306" s="78"/>
      <c r="V306" s="78"/>
      <c r="W306" s="78"/>
      <c r="X306" s="78"/>
      <c r="Y306" s="78"/>
      <c r="Z306" s="78"/>
      <c r="AA306" s="78"/>
    </row>
    <row r="307" spans="2:27" x14ac:dyDescent="0.3">
      <c r="B307" s="47" t="s">
        <v>140</v>
      </c>
      <c r="C307" s="110">
        <v>1931</v>
      </c>
      <c r="D307" s="426">
        <v>1.31</v>
      </c>
      <c r="E307" s="47"/>
      <c r="F307" s="47"/>
      <c r="G307" s="49">
        <v>4114</v>
      </c>
      <c r="H307" s="49">
        <v>4554.1049999999996</v>
      </c>
      <c r="I307" s="49">
        <v>4812.643</v>
      </c>
      <c r="J307" s="49">
        <v>4552.4240000000009</v>
      </c>
      <c r="K307" s="49">
        <v>4384.4089999999997</v>
      </c>
      <c r="L307" s="49">
        <v>4376.9049999999997</v>
      </c>
      <c r="M307" s="49">
        <v>3466.1080000000002</v>
      </c>
      <c r="N307" s="49">
        <v>4191.5759999999991</v>
      </c>
      <c r="O307" s="49">
        <f t="shared" ref="O307:O308" si="154">+AVERAGE(L307:N307)</f>
        <v>4011.5296666666668</v>
      </c>
      <c r="P307" s="49">
        <f t="shared" ref="P307:AA308" si="155">+O307</f>
        <v>4011.5296666666668</v>
      </c>
      <c r="Q307" s="49">
        <f t="shared" si="155"/>
        <v>4011.5296666666668</v>
      </c>
      <c r="R307" s="49">
        <f t="shared" si="155"/>
        <v>4011.5296666666668</v>
      </c>
      <c r="S307" s="49">
        <f t="shared" si="155"/>
        <v>4011.5296666666668</v>
      </c>
      <c r="T307" s="49">
        <f t="shared" si="155"/>
        <v>4011.5296666666668</v>
      </c>
      <c r="U307" s="49">
        <f t="shared" si="155"/>
        <v>4011.5296666666668</v>
      </c>
      <c r="V307" s="49">
        <f t="shared" si="155"/>
        <v>4011.5296666666668</v>
      </c>
      <c r="W307" s="49">
        <f t="shared" si="155"/>
        <v>4011.5296666666668</v>
      </c>
      <c r="X307" s="49">
        <f t="shared" si="155"/>
        <v>4011.5296666666668</v>
      </c>
      <c r="Y307" s="49">
        <f t="shared" si="155"/>
        <v>4011.5296666666668</v>
      </c>
      <c r="Z307" s="49">
        <f t="shared" si="155"/>
        <v>4011.5296666666668</v>
      </c>
      <c r="AA307" s="49">
        <f t="shared" si="155"/>
        <v>4011.5296666666668</v>
      </c>
    </row>
    <row r="308" spans="2:27" x14ac:dyDescent="0.3">
      <c r="B308" s="47" t="s">
        <v>141</v>
      </c>
      <c r="C308" s="110">
        <v>1931</v>
      </c>
      <c r="D308" s="426">
        <v>1.24</v>
      </c>
      <c r="E308" s="47"/>
      <c r="F308" s="47"/>
      <c r="G308" s="49">
        <v>4195</v>
      </c>
      <c r="H308" s="49">
        <v>4563.4110000000001</v>
      </c>
      <c r="I308" s="49">
        <v>4781.6249999999973</v>
      </c>
      <c r="J308" s="49">
        <v>4698.2270000000008</v>
      </c>
      <c r="K308" s="49">
        <v>4197.7930000000006</v>
      </c>
      <c r="L308" s="49">
        <v>4145.2669999999998</v>
      </c>
      <c r="M308" s="49">
        <v>3329.4500000000003</v>
      </c>
      <c r="N308" s="49">
        <v>4038.616</v>
      </c>
      <c r="O308" s="49">
        <f t="shared" si="154"/>
        <v>3837.7776666666668</v>
      </c>
      <c r="P308" s="49">
        <f t="shared" si="155"/>
        <v>3837.7776666666668</v>
      </c>
      <c r="Q308" s="49">
        <f t="shared" si="155"/>
        <v>3837.7776666666668</v>
      </c>
      <c r="R308" s="49">
        <f t="shared" si="155"/>
        <v>3837.7776666666668</v>
      </c>
      <c r="S308" s="49">
        <f t="shared" si="155"/>
        <v>3837.7776666666668</v>
      </c>
      <c r="T308" s="49">
        <f t="shared" si="155"/>
        <v>3837.7776666666668</v>
      </c>
      <c r="U308" s="49">
        <f t="shared" si="155"/>
        <v>3837.7776666666668</v>
      </c>
      <c r="V308" s="49">
        <f t="shared" si="155"/>
        <v>3837.7776666666668</v>
      </c>
      <c r="W308" s="49">
        <f t="shared" si="155"/>
        <v>3837.7776666666668</v>
      </c>
      <c r="X308" s="49">
        <f t="shared" si="155"/>
        <v>3837.7776666666668</v>
      </c>
      <c r="Y308" s="49">
        <f t="shared" si="155"/>
        <v>3837.7776666666668</v>
      </c>
      <c r="Z308" s="49">
        <f t="shared" si="155"/>
        <v>3837.7776666666668</v>
      </c>
      <c r="AA308" s="49">
        <f t="shared" si="155"/>
        <v>3837.7776666666668</v>
      </c>
    </row>
    <row r="309" spans="2:27" x14ac:dyDescent="0.3">
      <c r="B309" s="57" t="s">
        <v>7</v>
      </c>
      <c r="C309" s="392"/>
      <c r="D309" s="57"/>
      <c r="E309" s="57"/>
      <c r="F309" s="57"/>
      <c r="G309" s="78"/>
      <c r="H309" s="78"/>
      <c r="I309" s="78"/>
      <c r="J309" s="78"/>
      <c r="K309" s="78"/>
      <c r="L309" s="78"/>
      <c r="M309" s="78"/>
      <c r="N309" s="78"/>
      <c r="O309" s="78"/>
      <c r="P309" s="78"/>
      <c r="Q309" s="78"/>
      <c r="R309" s="78"/>
      <c r="S309" s="78"/>
      <c r="T309" s="78"/>
      <c r="U309" s="78"/>
      <c r="V309" s="78"/>
      <c r="W309" s="78"/>
      <c r="X309" s="78"/>
      <c r="Y309" s="78"/>
      <c r="Z309" s="78"/>
      <c r="AA309" s="78"/>
    </row>
    <row r="310" spans="2:27" x14ac:dyDescent="0.3">
      <c r="B310" s="47" t="s">
        <v>342</v>
      </c>
      <c r="C310" s="110">
        <v>2017</v>
      </c>
      <c r="D310" s="426">
        <v>120</v>
      </c>
      <c r="E310" s="110">
        <v>0.5</v>
      </c>
      <c r="F310" s="47"/>
      <c r="G310" s="49">
        <v>0</v>
      </c>
      <c r="H310" s="49">
        <v>0</v>
      </c>
      <c r="I310" s="49">
        <v>0</v>
      </c>
      <c r="J310" s="49">
        <v>0</v>
      </c>
      <c r="K310" s="49">
        <v>0</v>
      </c>
      <c r="L310" s="49">
        <v>0</v>
      </c>
      <c r="M310" s="49">
        <v>0</v>
      </c>
      <c r="N310" s="49">
        <v>11172.225999999999</v>
      </c>
      <c r="O310" s="49">
        <f>+$D$310*8760*E310</f>
        <v>525600</v>
      </c>
      <c r="P310" s="49">
        <f>+O310</f>
        <v>525600</v>
      </c>
      <c r="Q310" s="49">
        <f t="shared" ref="Q310:AA310" si="156">+P310</f>
        <v>525600</v>
      </c>
      <c r="R310" s="49">
        <f t="shared" si="156"/>
        <v>525600</v>
      </c>
      <c r="S310" s="49">
        <f t="shared" si="156"/>
        <v>525600</v>
      </c>
      <c r="T310" s="49">
        <f t="shared" si="156"/>
        <v>525600</v>
      </c>
      <c r="U310" s="49">
        <f t="shared" si="156"/>
        <v>525600</v>
      </c>
      <c r="V310" s="49">
        <f t="shared" si="156"/>
        <v>525600</v>
      </c>
      <c r="W310" s="49">
        <f t="shared" si="156"/>
        <v>525600</v>
      </c>
      <c r="X310" s="49">
        <f t="shared" si="156"/>
        <v>525600</v>
      </c>
      <c r="Y310" s="49">
        <f t="shared" si="156"/>
        <v>525600</v>
      </c>
      <c r="Z310" s="49">
        <f t="shared" si="156"/>
        <v>525600</v>
      </c>
      <c r="AA310" s="49">
        <f t="shared" si="156"/>
        <v>525600</v>
      </c>
    </row>
    <row r="311" spans="2:27" x14ac:dyDescent="0.3">
      <c r="B311" s="57" t="s">
        <v>39</v>
      </c>
      <c r="C311" s="392"/>
      <c r="D311" s="57"/>
      <c r="E311" s="57"/>
      <c r="F311" s="57"/>
      <c r="G311" s="78"/>
      <c r="H311" s="78"/>
      <c r="I311" s="78"/>
      <c r="J311" s="78"/>
      <c r="K311" s="78"/>
      <c r="L311" s="78"/>
      <c r="M311" s="78"/>
      <c r="N311" s="78"/>
      <c r="O311" s="78"/>
      <c r="P311" s="78"/>
      <c r="Q311" s="78"/>
      <c r="R311" s="78"/>
      <c r="S311" s="78"/>
      <c r="T311" s="78"/>
      <c r="U311" s="78"/>
      <c r="V311" s="78"/>
      <c r="W311" s="78"/>
      <c r="X311" s="78"/>
      <c r="Y311" s="78"/>
      <c r="Z311" s="78"/>
      <c r="AA311" s="78"/>
    </row>
    <row r="312" spans="2:27" x14ac:dyDescent="0.3">
      <c r="B312" s="47" t="s">
        <v>154</v>
      </c>
      <c r="C312" s="110">
        <v>1962</v>
      </c>
      <c r="D312" s="426">
        <v>2.4</v>
      </c>
      <c r="E312" s="47"/>
      <c r="F312" s="47"/>
      <c r="G312" s="49">
        <v>16964.522000000001</v>
      </c>
      <c r="H312" s="49">
        <v>17331.444</v>
      </c>
      <c r="I312" s="49">
        <v>18585.001000000004</v>
      </c>
      <c r="J312" s="49">
        <v>16688.195999999996</v>
      </c>
      <c r="K312" s="49">
        <v>17786.664000000001</v>
      </c>
      <c r="L312" s="49">
        <v>18207.585999999999</v>
      </c>
      <c r="M312" s="49">
        <v>16078.901000000002</v>
      </c>
      <c r="N312" s="49">
        <v>15005.555</v>
      </c>
      <c r="O312" s="49">
        <f t="shared" ref="O312" si="157">+AVERAGE(L312:N312)</f>
        <v>16430.680666666667</v>
      </c>
      <c r="P312" s="49">
        <f>+O312</f>
        <v>16430.680666666667</v>
      </c>
      <c r="Q312" s="49">
        <f t="shared" ref="Q312:AA312" si="158">+P312</f>
        <v>16430.680666666667</v>
      </c>
      <c r="R312" s="49">
        <f t="shared" si="158"/>
        <v>16430.680666666667</v>
      </c>
      <c r="S312" s="49">
        <f t="shared" si="158"/>
        <v>16430.680666666667</v>
      </c>
      <c r="T312" s="49">
        <f t="shared" si="158"/>
        <v>16430.680666666667</v>
      </c>
      <c r="U312" s="49">
        <f t="shared" si="158"/>
        <v>16430.680666666667</v>
      </c>
      <c r="V312" s="49">
        <f t="shared" si="158"/>
        <v>16430.680666666667</v>
      </c>
      <c r="W312" s="49">
        <f t="shared" si="158"/>
        <v>16430.680666666667</v>
      </c>
      <c r="X312" s="49">
        <f t="shared" si="158"/>
        <v>16430.680666666667</v>
      </c>
      <c r="Y312" s="49">
        <f t="shared" si="158"/>
        <v>16430.680666666667</v>
      </c>
      <c r="Z312" s="49">
        <f t="shared" si="158"/>
        <v>16430.680666666667</v>
      </c>
      <c r="AA312" s="49">
        <f t="shared" si="158"/>
        <v>16430.680666666667</v>
      </c>
    </row>
    <row r="313" spans="2:27" x14ac:dyDescent="0.3">
      <c r="B313" s="57" t="s">
        <v>5</v>
      </c>
      <c r="C313" s="392"/>
      <c r="D313" s="432"/>
      <c r="E313" s="57"/>
      <c r="F313" s="57"/>
      <c r="G313" s="78"/>
      <c r="H313" s="78"/>
      <c r="I313" s="78"/>
      <c r="J313" s="78"/>
      <c r="K313" s="78"/>
      <c r="L313" s="78"/>
      <c r="M313" s="78"/>
      <c r="N313" s="78"/>
      <c r="O313" s="78"/>
      <c r="P313" s="78"/>
      <c r="Q313" s="78"/>
      <c r="R313" s="78"/>
      <c r="S313" s="78"/>
      <c r="T313" s="78"/>
      <c r="U313" s="78"/>
      <c r="V313" s="78"/>
      <c r="W313" s="78"/>
      <c r="X313" s="78"/>
      <c r="Y313" s="78"/>
      <c r="Z313" s="78"/>
      <c r="AA313" s="78"/>
    </row>
    <row r="314" spans="2:27" x14ac:dyDescent="0.3">
      <c r="B314" s="47" t="s">
        <v>338</v>
      </c>
      <c r="C314" s="110">
        <v>2007</v>
      </c>
      <c r="D314" s="426">
        <v>0.97899999999999998</v>
      </c>
      <c r="E314" s="47"/>
      <c r="F314" s="47"/>
      <c r="G314" s="49">
        <v>3310.3999999999996</v>
      </c>
      <c r="H314" s="49">
        <v>4002.56</v>
      </c>
      <c r="I314" s="49">
        <v>6492.8999999999987</v>
      </c>
      <c r="J314" s="49">
        <v>7388.4</v>
      </c>
      <c r="K314" s="49">
        <v>7175.8399999999992</v>
      </c>
      <c r="L314" s="49">
        <v>8301.2000000000007</v>
      </c>
      <c r="M314" s="49">
        <v>2307.6</v>
      </c>
      <c r="N314" s="49">
        <v>3547</v>
      </c>
      <c r="O314" s="49">
        <f t="shared" ref="O314:O315" si="159">+AVERAGE(L314:N314)</f>
        <v>4718.6000000000004</v>
      </c>
      <c r="P314" s="49">
        <f t="shared" ref="P314:AA315" si="160">+O314</f>
        <v>4718.6000000000004</v>
      </c>
      <c r="Q314" s="49">
        <f t="shared" si="160"/>
        <v>4718.6000000000004</v>
      </c>
      <c r="R314" s="49">
        <f t="shared" si="160"/>
        <v>4718.6000000000004</v>
      </c>
      <c r="S314" s="49">
        <f t="shared" si="160"/>
        <v>4718.6000000000004</v>
      </c>
      <c r="T314" s="49">
        <f t="shared" si="160"/>
        <v>4718.6000000000004</v>
      </c>
      <c r="U314" s="49">
        <f t="shared" si="160"/>
        <v>4718.6000000000004</v>
      </c>
      <c r="V314" s="49">
        <f t="shared" si="160"/>
        <v>4718.6000000000004</v>
      </c>
      <c r="W314" s="49">
        <f t="shared" si="160"/>
        <v>4718.6000000000004</v>
      </c>
      <c r="X314" s="49">
        <f t="shared" si="160"/>
        <v>4718.6000000000004</v>
      </c>
      <c r="Y314" s="49">
        <f t="shared" si="160"/>
        <v>4718.6000000000004</v>
      </c>
      <c r="Z314" s="49">
        <f t="shared" si="160"/>
        <v>4718.6000000000004</v>
      </c>
      <c r="AA314" s="49">
        <f t="shared" si="160"/>
        <v>4718.6000000000004</v>
      </c>
    </row>
    <row r="315" spans="2:27" x14ac:dyDescent="0.3">
      <c r="B315" s="47" t="s">
        <v>339</v>
      </c>
      <c r="C315" s="110">
        <v>2007</v>
      </c>
      <c r="D315" s="426">
        <v>0.99299999999999999</v>
      </c>
      <c r="E315" s="47"/>
      <c r="F315" s="47"/>
      <c r="G315" s="49"/>
      <c r="H315" s="49"/>
      <c r="I315" s="49"/>
      <c r="J315" s="49"/>
      <c r="K315" s="49"/>
      <c r="L315" s="49"/>
      <c r="M315" s="49">
        <v>2352.1</v>
      </c>
      <c r="N315" s="49">
        <v>3707.2000000000003</v>
      </c>
      <c r="O315" s="49">
        <f t="shared" si="159"/>
        <v>3029.65</v>
      </c>
      <c r="P315" s="49">
        <f t="shared" si="160"/>
        <v>3029.65</v>
      </c>
      <c r="Q315" s="49">
        <f t="shared" si="160"/>
        <v>3029.65</v>
      </c>
      <c r="R315" s="49">
        <f t="shared" si="160"/>
        <v>3029.65</v>
      </c>
      <c r="S315" s="49">
        <f t="shared" si="160"/>
        <v>3029.65</v>
      </c>
      <c r="T315" s="49">
        <f t="shared" si="160"/>
        <v>3029.65</v>
      </c>
      <c r="U315" s="49">
        <f t="shared" si="160"/>
        <v>3029.65</v>
      </c>
      <c r="V315" s="49">
        <f t="shared" si="160"/>
        <v>3029.65</v>
      </c>
      <c r="W315" s="49">
        <f t="shared" si="160"/>
        <v>3029.65</v>
      </c>
      <c r="X315" s="49">
        <f t="shared" si="160"/>
        <v>3029.65</v>
      </c>
      <c r="Y315" s="49">
        <f t="shared" si="160"/>
        <v>3029.65</v>
      </c>
      <c r="Z315" s="49">
        <f t="shared" si="160"/>
        <v>3029.65</v>
      </c>
      <c r="AA315" s="49">
        <f t="shared" si="160"/>
        <v>3029.65</v>
      </c>
    </row>
    <row r="316" spans="2:27" x14ac:dyDescent="0.3">
      <c r="B316" s="57" t="s">
        <v>40</v>
      </c>
      <c r="C316" s="392"/>
      <c r="D316" s="432"/>
      <c r="E316" s="57"/>
      <c r="F316" s="57"/>
      <c r="G316" s="78"/>
      <c r="H316" s="78"/>
      <c r="I316" s="78"/>
      <c r="J316" s="78"/>
      <c r="K316" s="78"/>
      <c r="L316" s="78"/>
      <c r="M316" s="78"/>
      <c r="N316" s="78"/>
      <c r="O316" s="78"/>
      <c r="P316" s="78"/>
      <c r="Q316" s="78"/>
      <c r="R316" s="78"/>
      <c r="S316" s="78"/>
      <c r="T316" s="78"/>
      <c r="U316" s="78"/>
      <c r="V316" s="78"/>
      <c r="W316" s="78"/>
      <c r="X316" s="78"/>
      <c r="Y316" s="78"/>
      <c r="Z316" s="78"/>
      <c r="AA316" s="78"/>
    </row>
    <row r="317" spans="2:27" x14ac:dyDescent="0.3">
      <c r="B317" s="47" t="s">
        <v>135</v>
      </c>
      <c r="C317" s="110">
        <v>1956</v>
      </c>
      <c r="D317" s="426">
        <v>10.5</v>
      </c>
      <c r="E317" s="47"/>
      <c r="F317" s="47"/>
      <c r="G317" s="49">
        <v>66898.476999999999</v>
      </c>
      <c r="H317" s="49">
        <v>71701.509999999995</v>
      </c>
      <c r="I317" s="49">
        <v>68123.947000000015</v>
      </c>
      <c r="J317" s="49">
        <v>70554.083999999988</v>
      </c>
      <c r="K317" s="49">
        <v>15429.729000000001</v>
      </c>
      <c r="L317" s="49">
        <v>23543.032999999996</v>
      </c>
      <c r="M317" s="49">
        <v>53982.859000000004</v>
      </c>
      <c r="N317" s="49">
        <v>69211.264999999999</v>
      </c>
      <c r="O317" s="49">
        <f t="shared" ref="O317" si="161">+AVERAGE(L317:N317)</f>
        <v>48912.385666666669</v>
      </c>
      <c r="P317" s="49">
        <f>+O317</f>
        <v>48912.385666666669</v>
      </c>
      <c r="Q317" s="49">
        <f t="shared" ref="Q317:AA317" si="162">+P317</f>
        <v>48912.385666666669</v>
      </c>
      <c r="R317" s="49">
        <f t="shared" si="162"/>
        <v>48912.385666666669</v>
      </c>
      <c r="S317" s="49">
        <f t="shared" si="162"/>
        <v>48912.385666666669</v>
      </c>
      <c r="T317" s="49">
        <f t="shared" si="162"/>
        <v>48912.385666666669</v>
      </c>
      <c r="U317" s="49">
        <f t="shared" si="162"/>
        <v>48912.385666666669</v>
      </c>
      <c r="V317" s="49">
        <f t="shared" si="162"/>
        <v>48912.385666666669</v>
      </c>
      <c r="W317" s="49">
        <f t="shared" si="162"/>
        <v>48912.385666666669</v>
      </c>
      <c r="X317" s="49">
        <f t="shared" si="162"/>
        <v>48912.385666666669</v>
      </c>
      <c r="Y317" s="49">
        <f t="shared" si="162"/>
        <v>48912.385666666669</v>
      </c>
      <c r="Z317" s="49">
        <f t="shared" si="162"/>
        <v>48912.385666666669</v>
      </c>
      <c r="AA317" s="49">
        <f t="shared" si="162"/>
        <v>48912.385666666669</v>
      </c>
    </row>
    <row r="318" spans="2:27" x14ac:dyDescent="0.3">
      <c r="B318" s="57" t="s">
        <v>6</v>
      </c>
      <c r="C318" s="392"/>
      <c r="D318" s="432"/>
      <c r="E318" s="57"/>
      <c r="F318" s="57"/>
      <c r="G318" s="78"/>
      <c r="H318" s="78"/>
      <c r="I318" s="78"/>
      <c r="J318" s="78"/>
      <c r="K318" s="78"/>
      <c r="L318" s="78"/>
      <c r="M318" s="78"/>
      <c r="N318" s="78"/>
      <c r="O318" s="78"/>
      <c r="P318" s="78"/>
      <c r="Q318" s="78"/>
      <c r="R318" s="78"/>
      <c r="S318" s="78"/>
      <c r="T318" s="78"/>
      <c r="U318" s="78"/>
      <c r="V318" s="78"/>
      <c r="W318" s="78"/>
      <c r="X318" s="78"/>
      <c r="Y318" s="78"/>
      <c r="Z318" s="78"/>
      <c r="AA318" s="78"/>
    </row>
    <row r="319" spans="2:27" x14ac:dyDescent="0.3">
      <c r="B319" s="47" t="s">
        <v>331</v>
      </c>
      <c r="C319" s="110">
        <v>2015</v>
      </c>
      <c r="D319" s="426">
        <v>3.8</v>
      </c>
      <c r="E319" s="47"/>
      <c r="F319" s="47"/>
      <c r="G319" s="49">
        <v>0</v>
      </c>
      <c r="H319" s="49">
        <v>0</v>
      </c>
      <c r="I319" s="49">
        <v>0</v>
      </c>
      <c r="J319" s="49">
        <v>0</v>
      </c>
      <c r="K319" s="49">
        <v>0</v>
      </c>
      <c r="L319" s="49">
        <v>2118.4740000000002</v>
      </c>
      <c r="M319" s="49">
        <v>5921.3628000000017</v>
      </c>
      <c r="N319" s="49">
        <v>9940.8974000000035</v>
      </c>
      <c r="O319" s="49">
        <f t="shared" ref="O319:O320" si="163">+AVERAGE(L319:N319)</f>
        <v>5993.5780666666687</v>
      </c>
      <c r="P319" s="49">
        <f t="shared" ref="P319:AA320" si="164">+O319</f>
        <v>5993.5780666666687</v>
      </c>
      <c r="Q319" s="49">
        <f t="shared" si="164"/>
        <v>5993.5780666666687</v>
      </c>
      <c r="R319" s="49">
        <f t="shared" si="164"/>
        <v>5993.5780666666687</v>
      </c>
      <c r="S319" s="49">
        <f t="shared" si="164"/>
        <v>5993.5780666666687</v>
      </c>
      <c r="T319" s="49">
        <f t="shared" si="164"/>
        <v>5993.5780666666687</v>
      </c>
      <c r="U319" s="49">
        <f t="shared" si="164"/>
        <v>5993.5780666666687</v>
      </c>
      <c r="V319" s="49">
        <f t="shared" si="164"/>
        <v>5993.5780666666687</v>
      </c>
      <c r="W319" s="49">
        <f t="shared" si="164"/>
        <v>5993.5780666666687</v>
      </c>
      <c r="X319" s="49">
        <f t="shared" si="164"/>
        <v>5993.5780666666687</v>
      </c>
      <c r="Y319" s="49">
        <f t="shared" si="164"/>
        <v>5993.5780666666687</v>
      </c>
      <c r="Z319" s="49">
        <f t="shared" si="164"/>
        <v>5993.5780666666687</v>
      </c>
      <c r="AA319" s="49">
        <f t="shared" si="164"/>
        <v>5993.5780666666687</v>
      </c>
    </row>
    <row r="320" spans="2:27" x14ac:dyDescent="0.3">
      <c r="B320" s="47" t="s">
        <v>332</v>
      </c>
      <c r="C320" s="110">
        <v>2015</v>
      </c>
      <c r="D320" s="426">
        <v>3.8</v>
      </c>
      <c r="E320" s="47"/>
      <c r="F320" s="47"/>
      <c r="G320" s="49">
        <v>0</v>
      </c>
      <c r="H320" s="49">
        <v>0</v>
      </c>
      <c r="I320" s="49">
        <v>0</v>
      </c>
      <c r="J320" s="49">
        <v>0</v>
      </c>
      <c r="K320" s="49">
        <v>0</v>
      </c>
      <c r="L320" s="49">
        <v>1880.5391999999999</v>
      </c>
      <c r="M320" s="49">
        <v>6106.0889999999999</v>
      </c>
      <c r="N320" s="49">
        <v>10262.133000000002</v>
      </c>
      <c r="O320" s="49">
        <f t="shared" si="163"/>
        <v>6082.9204</v>
      </c>
      <c r="P320" s="49">
        <f t="shared" si="164"/>
        <v>6082.9204</v>
      </c>
      <c r="Q320" s="49">
        <f t="shared" si="164"/>
        <v>6082.9204</v>
      </c>
      <c r="R320" s="49">
        <f t="shared" si="164"/>
        <v>6082.9204</v>
      </c>
      <c r="S320" s="49">
        <f t="shared" si="164"/>
        <v>6082.9204</v>
      </c>
      <c r="T320" s="49">
        <f t="shared" si="164"/>
        <v>6082.9204</v>
      </c>
      <c r="U320" s="49">
        <f t="shared" si="164"/>
        <v>6082.9204</v>
      </c>
      <c r="V320" s="49">
        <f t="shared" si="164"/>
        <v>6082.9204</v>
      </c>
      <c r="W320" s="49">
        <f t="shared" si="164"/>
        <v>6082.9204</v>
      </c>
      <c r="X320" s="49">
        <f t="shared" si="164"/>
        <v>6082.9204</v>
      </c>
      <c r="Y320" s="49">
        <f t="shared" si="164"/>
        <v>6082.9204</v>
      </c>
      <c r="Z320" s="49">
        <f t="shared" si="164"/>
        <v>6082.9204</v>
      </c>
      <c r="AA320" s="49">
        <f t="shared" si="164"/>
        <v>6082.9204</v>
      </c>
    </row>
    <row r="321" spans="2:27" x14ac:dyDescent="0.3">
      <c r="B321" s="57" t="s">
        <v>2</v>
      </c>
      <c r="C321" s="392"/>
      <c r="D321" s="427"/>
      <c r="E321" s="57"/>
      <c r="F321" s="57"/>
      <c r="G321" s="78"/>
      <c r="H321" s="78"/>
      <c r="I321" s="78"/>
      <c r="J321" s="78"/>
      <c r="K321" s="78"/>
      <c r="L321" s="78"/>
      <c r="M321" s="78"/>
      <c r="N321" s="78"/>
      <c r="O321" s="78"/>
      <c r="P321" s="78"/>
      <c r="Q321" s="78"/>
      <c r="R321" s="78"/>
      <c r="S321" s="78"/>
      <c r="T321" s="78"/>
      <c r="U321" s="78"/>
      <c r="V321" s="78"/>
      <c r="W321" s="78"/>
      <c r="X321" s="78"/>
      <c r="Y321" s="78"/>
      <c r="Z321" s="78"/>
      <c r="AA321" s="78"/>
    </row>
    <row r="322" spans="2:27" x14ac:dyDescent="0.3">
      <c r="B322" s="47" t="s">
        <v>122</v>
      </c>
      <c r="C322" s="110" t="s">
        <v>476</v>
      </c>
      <c r="D322" s="426">
        <v>91.105000000000004</v>
      </c>
      <c r="E322" s="47"/>
      <c r="F322" s="47"/>
      <c r="G322" s="49">
        <v>418380.17099999997</v>
      </c>
      <c r="H322" s="49">
        <v>477614.6</v>
      </c>
      <c r="I322" s="49">
        <v>485267.32000000007</v>
      </c>
      <c r="J322" s="49">
        <v>555713.26</v>
      </c>
      <c r="K322" s="49">
        <v>552076.43999999994</v>
      </c>
      <c r="L322" s="49">
        <v>560551.92799999996</v>
      </c>
      <c r="M322" s="49">
        <v>330698.88400000002</v>
      </c>
      <c r="N322" s="49">
        <v>431404.26799999998</v>
      </c>
      <c r="O322" s="49">
        <f t="shared" ref="O322" si="165">+AVERAGE(L322:N322)</f>
        <v>440885.02666666661</v>
      </c>
      <c r="P322" s="49">
        <f>+O322</f>
        <v>440885.02666666661</v>
      </c>
      <c r="Q322" s="49">
        <f t="shared" ref="Q322:AA322" si="166">+P322</f>
        <v>440885.02666666661</v>
      </c>
      <c r="R322" s="49">
        <f t="shared" si="166"/>
        <v>440885.02666666661</v>
      </c>
      <c r="S322" s="49">
        <f t="shared" si="166"/>
        <v>440885.02666666661</v>
      </c>
      <c r="T322" s="49">
        <f t="shared" si="166"/>
        <v>440885.02666666661</v>
      </c>
      <c r="U322" s="49">
        <f t="shared" si="166"/>
        <v>440885.02666666661</v>
      </c>
      <c r="V322" s="49">
        <f t="shared" si="166"/>
        <v>440885.02666666661</v>
      </c>
      <c r="W322" s="49">
        <f t="shared" si="166"/>
        <v>440885.02666666661</v>
      </c>
      <c r="X322" s="49">
        <f t="shared" si="166"/>
        <v>440885.02666666661</v>
      </c>
      <c r="Y322" s="49">
        <f t="shared" si="166"/>
        <v>440885.02666666661</v>
      </c>
      <c r="Z322" s="49">
        <f t="shared" si="166"/>
        <v>440885.02666666661</v>
      </c>
      <c r="AA322" s="49">
        <f t="shared" si="166"/>
        <v>440885.02666666661</v>
      </c>
    </row>
    <row r="323" spans="2:27" x14ac:dyDescent="0.3">
      <c r="B323" s="57" t="s">
        <v>42</v>
      </c>
      <c r="C323" s="392"/>
      <c r="D323" s="432"/>
      <c r="E323" s="57"/>
      <c r="F323" s="57"/>
      <c r="G323" s="78"/>
      <c r="H323" s="78"/>
      <c r="I323" s="78"/>
      <c r="J323" s="78"/>
      <c r="K323" s="78"/>
      <c r="L323" s="78"/>
      <c r="M323" s="78"/>
      <c r="N323" s="78"/>
      <c r="O323" s="78"/>
      <c r="P323" s="78"/>
      <c r="Q323" s="78"/>
      <c r="R323" s="78"/>
      <c r="S323" s="78"/>
      <c r="T323" s="78"/>
      <c r="U323" s="78"/>
      <c r="V323" s="78"/>
      <c r="W323" s="78"/>
      <c r="X323" s="78"/>
      <c r="Y323" s="78"/>
      <c r="Z323" s="78"/>
      <c r="AA323" s="78"/>
    </row>
    <row r="324" spans="2:27" x14ac:dyDescent="0.3">
      <c r="B324" s="47" t="s">
        <v>133</v>
      </c>
      <c r="C324" s="110">
        <v>2006</v>
      </c>
      <c r="D324" s="426">
        <v>6.9</v>
      </c>
      <c r="E324" s="47"/>
      <c r="F324" s="47"/>
      <c r="G324" s="49">
        <v>35381.828000000001</v>
      </c>
      <c r="H324" s="49">
        <v>40391.101000000002</v>
      </c>
      <c r="I324" s="49">
        <v>32300.107999999997</v>
      </c>
      <c r="J324" s="49">
        <v>36699.025999999998</v>
      </c>
      <c r="K324" s="49">
        <v>35041.322</v>
      </c>
      <c r="L324" s="49">
        <v>38808.311000000002</v>
      </c>
      <c r="M324" s="49">
        <v>27181.951999999997</v>
      </c>
      <c r="N324" s="49">
        <v>38544.047999999995</v>
      </c>
      <c r="O324" s="49">
        <f t="shared" ref="O324:O325" si="167">+AVERAGE(L324:N324)</f>
        <v>34844.770333333334</v>
      </c>
      <c r="P324" s="49">
        <f t="shared" ref="P324:AA325" si="168">+O324</f>
        <v>34844.770333333334</v>
      </c>
      <c r="Q324" s="49">
        <f t="shared" si="168"/>
        <v>34844.770333333334</v>
      </c>
      <c r="R324" s="49">
        <f t="shared" si="168"/>
        <v>34844.770333333334</v>
      </c>
      <c r="S324" s="49">
        <f t="shared" si="168"/>
        <v>34844.770333333334</v>
      </c>
      <c r="T324" s="49">
        <f t="shared" si="168"/>
        <v>34844.770333333334</v>
      </c>
      <c r="U324" s="49">
        <f t="shared" si="168"/>
        <v>34844.770333333334</v>
      </c>
      <c r="V324" s="49">
        <f t="shared" si="168"/>
        <v>34844.770333333334</v>
      </c>
      <c r="W324" s="49">
        <f t="shared" si="168"/>
        <v>34844.770333333334</v>
      </c>
      <c r="X324" s="49">
        <f t="shared" si="168"/>
        <v>34844.770333333334</v>
      </c>
      <c r="Y324" s="49">
        <f t="shared" si="168"/>
        <v>34844.770333333334</v>
      </c>
      <c r="Z324" s="49">
        <f t="shared" si="168"/>
        <v>34844.770333333334</v>
      </c>
      <c r="AA324" s="49">
        <f t="shared" si="168"/>
        <v>34844.770333333334</v>
      </c>
    </row>
    <row r="325" spans="2:27" x14ac:dyDescent="0.3">
      <c r="B325" s="47" t="s">
        <v>134</v>
      </c>
      <c r="C325" s="110">
        <v>2006</v>
      </c>
      <c r="D325" s="426">
        <v>10.69</v>
      </c>
      <c r="E325" s="47"/>
      <c r="F325" s="47"/>
      <c r="G325" s="49">
        <v>43128.714000000007</v>
      </c>
      <c r="H325" s="49">
        <v>46044.358999999997</v>
      </c>
      <c r="I325" s="49">
        <v>43194.46</v>
      </c>
      <c r="J325" s="49">
        <v>45291.724999999999</v>
      </c>
      <c r="K325" s="49">
        <v>48557.090000000004</v>
      </c>
      <c r="L325" s="49">
        <v>47305.845000000001</v>
      </c>
      <c r="M325" s="49">
        <v>39690.658000000003</v>
      </c>
      <c r="N325" s="49">
        <v>47225.397999999994</v>
      </c>
      <c r="O325" s="49">
        <f t="shared" si="167"/>
        <v>44740.633666666661</v>
      </c>
      <c r="P325" s="49">
        <f t="shared" si="168"/>
        <v>44740.633666666661</v>
      </c>
      <c r="Q325" s="49">
        <f t="shared" si="168"/>
        <v>44740.633666666661</v>
      </c>
      <c r="R325" s="49">
        <f t="shared" si="168"/>
        <v>44740.633666666661</v>
      </c>
      <c r="S325" s="49">
        <f t="shared" si="168"/>
        <v>44740.633666666661</v>
      </c>
      <c r="T325" s="49">
        <f t="shared" si="168"/>
        <v>44740.633666666661</v>
      </c>
      <c r="U325" s="49">
        <f t="shared" si="168"/>
        <v>44740.633666666661</v>
      </c>
      <c r="V325" s="49">
        <f t="shared" si="168"/>
        <v>44740.633666666661</v>
      </c>
      <c r="W325" s="49">
        <f t="shared" si="168"/>
        <v>44740.633666666661</v>
      </c>
      <c r="X325" s="49">
        <f t="shared" si="168"/>
        <v>44740.633666666661</v>
      </c>
      <c r="Y325" s="49">
        <f t="shared" si="168"/>
        <v>44740.633666666661</v>
      </c>
      <c r="Z325" s="49">
        <f t="shared" si="168"/>
        <v>44740.633666666661</v>
      </c>
      <c r="AA325" s="49">
        <f t="shared" si="168"/>
        <v>44740.633666666661</v>
      </c>
    </row>
    <row r="326" spans="2:27" x14ac:dyDescent="0.3">
      <c r="B326" s="57" t="s">
        <v>43</v>
      </c>
      <c r="C326" s="392"/>
      <c r="D326" s="432"/>
      <c r="E326" s="57"/>
      <c r="F326" s="57"/>
      <c r="G326" s="78"/>
      <c r="H326" s="78"/>
      <c r="I326" s="78"/>
      <c r="J326" s="78"/>
      <c r="K326" s="78"/>
      <c r="L326" s="78"/>
      <c r="M326" s="78"/>
      <c r="N326" s="78"/>
      <c r="O326" s="78"/>
      <c r="P326" s="78"/>
      <c r="Q326" s="78"/>
      <c r="R326" s="78"/>
      <c r="S326" s="78"/>
      <c r="T326" s="78"/>
      <c r="U326" s="78"/>
      <c r="V326" s="78"/>
      <c r="W326" s="78"/>
      <c r="X326" s="78"/>
      <c r="Y326" s="78"/>
      <c r="Z326" s="78"/>
      <c r="AA326" s="78"/>
    </row>
    <row r="327" spans="2:27" x14ac:dyDescent="0.3">
      <c r="B327" s="47" t="s">
        <v>124</v>
      </c>
      <c r="C327" s="110">
        <v>1997</v>
      </c>
      <c r="D327" s="426">
        <v>9.7200000000000006</v>
      </c>
      <c r="E327" s="47"/>
      <c r="F327" s="47"/>
      <c r="G327" s="49">
        <v>8884.2089999999989</v>
      </c>
      <c r="H327" s="49">
        <v>15926.226000000001</v>
      </c>
      <c r="I327" s="49">
        <v>12913.739999999998</v>
      </c>
      <c r="J327" s="49">
        <v>11358.185999999998</v>
      </c>
      <c r="K327" s="49">
        <v>10445.099</v>
      </c>
      <c r="L327" s="49">
        <v>12813.867</v>
      </c>
      <c r="M327" s="49">
        <v>6632.0620000000017</v>
      </c>
      <c r="N327" s="49">
        <v>11241.978999999999</v>
      </c>
      <c r="O327" s="49">
        <f t="shared" ref="O327" si="169">+AVERAGE(L327:N327)</f>
        <v>10229.302666666668</v>
      </c>
      <c r="P327" s="49">
        <f>+O327</f>
        <v>10229.302666666668</v>
      </c>
      <c r="Q327" s="49">
        <f t="shared" ref="Q327:AA327" si="170">+P327</f>
        <v>10229.302666666668</v>
      </c>
      <c r="R327" s="49">
        <f t="shared" si="170"/>
        <v>10229.302666666668</v>
      </c>
      <c r="S327" s="49">
        <f t="shared" si="170"/>
        <v>10229.302666666668</v>
      </c>
      <c r="T327" s="49">
        <f t="shared" si="170"/>
        <v>10229.302666666668</v>
      </c>
      <c r="U327" s="49">
        <f t="shared" si="170"/>
        <v>10229.302666666668</v>
      </c>
      <c r="V327" s="49">
        <f t="shared" si="170"/>
        <v>10229.302666666668</v>
      </c>
      <c r="W327" s="49">
        <f t="shared" si="170"/>
        <v>10229.302666666668</v>
      </c>
      <c r="X327" s="49">
        <f t="shared" si="170"/>
        <v>10229.302666666668</v>
      </c>
      <c r="Y327" s="49">
        <f t="shared" si="170"/>
        <v>10229.302666666668</v>
      </c>
      <c r="Z327" s="49">
        <f t="shared" si="170"/>
        <v>10229.302666666668</v>
      </c>
      <c r="AA327" s="49">
        <f t="shared" si="170"/>
        <v>10229.302666666668</v>
      </c>
    </row>
    <row r="328" spans="2:27" x14ac:dyDescent="0.3">
      <c r="B328" s="57" t="s">
        <v>46</v>
      </c>
      <c r="C328" s="392"/>
      <c r="D328" s="432"/>
      <c r="E328" s="57"/>
      <c r="F328" s="57"/>
      <c r="G328" s="78"/>
      <c r="H328" s="78"/>
      <c r="I328" s="78"/>
      <c r="J328" s="78"/>
      <c r="K328" s="78"/>
      <c r="L328" s="78"/>
      <c r="M328" s="78"/>
      <c r="N328" s="78"/>
      <c r="O328" s="78"/>
      <c r="P328" s="78"/>
      <c r="Q328" s="78"/>
      <c r="R328" s="78"/>
      <c r="S328" s="78"/>
      <c r="T328" s="78"/>
      <c r="U328" s="78"/>
      <c r="V328" s="78"/>
      <c r="W328" s="78"/>
      <c r="X328" s="78"/>
      <c r="Y328" s="78"/>
      <c r="Z328" s="78"/>
      <c r="AA328" s="78"/>
    </row>
    <row r="329" spans="2:27" x14ac:dyDescent="0.3">
      <c r="B329" s="47" t="s">
        <v>150</v>
      </c>
      <c r="C329" s="110">
        <v>2002</v>
      </c>
      <c r="D329" s="426">
        <v>50.784999999999997</v>
      </c>
      <c r="E329" s="47"/>
      <c r="F329" s="47"/>
      <c r="G329" s="49">
        <v>190812.26330156953</v>
      </c>
      <c r="H329" s="49">
        <v>206067.00099999999</v>
      </c>
      <c r="I329" s="49">
        <v>209706.07100000003</v>
      </c>
      <c r="J329" s="49">
        <v>223487.34744793986</v>
      </c>
      <c r="K329" s="49">
        <v>70571.212</v>
      </c>
      <c r="L329" s="49">
        <v>211398.55300000001</v>
      </c>
      <c r="M329" s="49">
        <v>155757.26200000002</v>
      </c>
      <c r="N329" s="49">
        <v>179334.13099999996</v>
      </c>
      <c r="O329" s="49">
        <f t="shared" ref="O329" si="171">+AVERAGE(L329:N329)</f>
        <v>182163.31533333333</v>
      </c>
      <c r="P329" s="49">
        <f>+O329</f>
        <v>182163.31533333333</v>
      </c>
      <c r="Q329" s="49">
        <f t="shared" ref="Q329:AA329" si="172">+P329</f>
        <v>182163.31533333333</v>
      </c>
      <c r="R329" s="49">
        <f t="shared" si="172"/>
        <v>182163.31533333333</v>
      </c>
      <c r="S329" s="49">
        <f t="shared" si="172"/>
        <v>182163.31533333333</v>
      </c>
      <c r="T329" s="49">
        <f t="shared" si="172"/>
        <v>182163.31533333333</v>
      </c>
      <c r="U329" s="49">
        <f t="shared" si="172"/>
        <v>182163.31533333333</v>
      </c>
      <c r="V329" s="49">
        <f t="shared" si="172"/>
        <v>182163.31533333333</v>
      </c>
      <c r="W329" s="49">
        <f t="shared" si="172"/>
        <v>182163.31533333333</v>
      </c>
      <c r="X329" s="49">
        <f t="shared" si="172"/>
        <v>182163.31533333333</v>
      </c>
      <c r="Y329" s="49">
        <f t="shared" si="172"/>
        <v>182163.31533333333</v>
      </c>
      <c r="Z329" s="49">
        <f t="shared" si="172"/>
        <v>182163.31533333333</v>
      </c>
      <c r="AA329" s="49">
        <f t="shared" si="172"/>
        <v>182163.31533333333</v>
      </c>
    </row>
    <row r="330" spans="2:27" x14ac:dyDescent="0.3">
      <c r="B330" s="57" t="s">
        <v>1</v>
      </c>
      <c r="C330" s="392"/>
      <c r="D330" s="432"/>
      <c r="E330" s="57"/>
      <c r="F330" s="57"/>
      <c r="G330" s="78"/>
      <c r="H330" s="78"/>
      <c r="I330" s="78"/>
      <c r="J330" s="78"/>
      <c r="K330" s="78"/>
      <c r="L330" s="78"/>
      <c r="M330" s="78"/>
      <c r="N330" s="78"/>
      <c r="O330" s="78"/>
      <c r="P330" s="78"/>
      <c r="Q330" s="78"/>
      <c r="R330" s="78"/>
      <c r="S330" s="78"/>
      <c r="T330" s="78"/>
      <c r="U330" s="78"/>
      <c r="V330" s="78"/>
      <c r="W330" s="78"/>
      <c r="X330" s="78"/>
      <c r="Y330" s="78"/>
      <c r="Z330" s="78"/>
      <c r="AA330" s="78"/>
    </row>
    <row r="331" spans="2:27" x14ac:dyDescent="0.3">
      <c r="B331" s="47" t="s">
        <v>123</v>
      </c>
      <c r="C331" s="110">
        <v>1997</v>
      </c>
      <c r="D331" s="426">
        <v>11.04</v>
      </c>
      <c r="E331" s="47"/>
      <c r="F331" s="47"/>
      <c r="G331" s="49">
        <v>11345.115999999998</v>
      </c>
      <c r="H331" s="49">
        <v>11062.147000000001</v>
      </c>
      <c r="I331" s="49">
        <v>9730.2360000000008</v>
      </c>
      <c r="J331" s="49">
        <v>8366.9229999999989</v>
      </c>
      <c r="K331" s="49">
        <v>9230.8360000000011</v>
      </c>
      <c r="L331" s="49">
        <v>9970.2779999999984</v>
      </c>
      <c r="M331" s="49">
        <v>9497.0040000000008</v>
      </c>
      <c r="N331" s="49">
        <v>10212.421999999999</v>
      </c>
      <c r="O331" s="49">
        <f t="shared" ref="O331" si="173">+AVERAGE(L331:N331)</f>
        <v>9893.2346666666654</v>
      </c>
      <c r="P331" s="49">
        <f>+O331</f>
        <v>9893.2346666666654</v>
      </c>
      <c r="Q331" s="49">
        <f t="shared" ref="Q331:AA331" si="174">+P331</f>
        <v>9893.2346666666654</v>
      </c>
      <c r="R331" s="49">
        <f t="shared" si="174"/>
        <v>9893.2346666666654</v>
      </c>
      <c r="S331" s="49">
        <f t="shared" si="174"/>
        <v>9893.2346666666654</v>
      </c>
      <c r="T331" s="49">
        <f t="shared" si="174"/>
        <v>9893.2346666666654</v>
      </c>
      <c r="U331" s="49">
        <f t="shared" si="174"/>
        <v>9893.2346666666654</v>
      </c>
      <c r="V331" s="49">
        <f t="shared" si="174"/>
        <v>9893.2346666666654</v>
      </c>
      <c r="W331" s="49">
        <f t="shared" si="174"/>
        <v>9893.2346666666654</v>
      </c>
      <c r="X331" s="49">
        <f t="shared" si="174"/>
        <v>9893.2346666666654</v>
      </c>
      <c r="Y331" s="49">
        <f t="shared" si="174"/>
        <v>9893.2346666666654</v>
      </c>
      <c r="Z331" s="49">
        <f t="shared" si="174"/>
        <v>9893.2346666666654</v>
      </c>
      <c r="AA331" s="49">
        <f t="shared" si="174"/>
        <v>9893.2346666666654</v>
      </c>
    </row>
    <row r="332" spans="2:27" x14ac:dyDescent="0.3">
      <c r="B332" s="15"/>
      <c r="C332" s="428"/>
      <c r="D332" s="429"/>
    </row>
    <row r="333" spans="2:27" x14ac:dyDescent="0.3">
      <c r="B333" s="439"/>
      <c r="C333" s="440"/>
      <c r="D333" s="440"/>
      <c r="E333" s="440"/>
      <c r="F333" s="438"/>
      <c r="G333" s="381">
        <v>2010</v>
      </c>
      <c r="H333" s="381">
        <v>2011</v>
      </c>
      <c r="I333" s="381">
        <v>2012</v>
      </c>
      <c r="J333" s="381">
        <v>2013</v>
      </c>
      <c r="K333" s="381">
        <v>2014</v>
      </c>
      <c r="L333" s="381">
        <v>2015</v>
      </c>
      <c r="M333" s="381">
        <v>2016</v>
      </c>
      <c r="N333" s="381">
        <v>2017</v>
      </c>
      <c r="O333" s="381">
        <v>2018</v>
      </c>
      <c r="P333" s="381">
        <v>2019</v>
      </c>
      <c r="Q333" s="381">
        <v>2020</v>
      </c>
      <c r="R333" s="381">
        <v>2021</v>
      </c>
      <c r="S333" s="381">
        <v>2022</v>
      </c>
      <c r="T333" s="381">
        <v>2023</v>
      </c>
      <c r="U333" s="381">
        <v>2024</v>
      </c>
      <c r="V333" s="381">
        <v>2025</v>
      </c>
      <c r="W333" s="381">
        <v>2026</v>
      </c>
      <c r="X333" s="381">
        <v>2027</v>
      </c>
      <c r="Y333" s="381">
        <v>2028</v>
      </c>
      <c r="Z333" s="381">
        <v>2029</v>
      </c>
      <c r="AA333" s="381">
        <v>2030</v>
      </c>
    </row>
    <row r="334" spans="2:27" ht="28.8" x14ac:dyDescent="0.3">
      <c r="B334" s="84" t="s">
        <v>164</v>
      </c>
      <c r="C334" s="80" t="s">
        <v>279</v>
      </c>
      <c r="D334" s="389" t="s">
        <v>397</v>
      </c>
      <c r="E334" s="388"/>
      <c r="F334" s="84"/>
      <c r="G334" s="79" t="s">
        <v>165</v>
      </c>
      <c r="H334" s="79" t="s">
        <v>165</v>
      </c>
      <c r="I334" s="79" t="s">
        <v>165</v>
      </c>
      <c r="J334" s="79" t="s">
        <v>165</v>
      </c>
      <c r="K334" s="79" t="s">
        <v>165</v>
      </c>
      <c r="L334" s="79" t="s">
        <v>165</v>
      </c>
      <c r="M334" s="79" t="s">
        <v>165</v>
      </c>
      <c r="N334" s="79" t="s">
        <v>165</v>
      </c>
      <c r="O334" s="79" t="s">
        <v>165</v>
      </c>
      <c r="P334" s="79" t="s">
        <v>165</v>
      </c>
      <c r="Q334" s="79" t="s">
        <v>165</v>
      </c>
      <c r="R334" s="79" t="s">
        <v>165</v>
      </c>
      <c r="S334" s="79" t="s">
        <v>165</v>
      </c>
      <c r="T334" s="79" t="s">
        <v>165</v>
      </c>
      <c r="U334" s="79" t="s">
        <v>165</v>
      </c>
      <c r="V334" s="79" t="s">
        <v>165</v>
      </c>
      <c r="W334" s="79" t="s">
        <v>165</v>
      </c>
      <c r="X334" s="79" t="s">
        <v>165</v>
      </c>
      <c r="Y334" s="79" t="s">
        <v>165</v>
      </c>
      <c r="Z334" s="79" t="s">
        <v>165</v>
      </c>
      <c r="AA334" s="79" t="s">
        <v>165</v>
      </c>
    </row>
    <row r="335" spans="2:27" x14ac:dyDescent="0.3">
      <c r="B335" s="7" t="s">
        <v>12</v>
      </c>
      <c r="C335" s="422"/>
      <c r="D335" s="11"/>
      <c r="E335" s="11"/>
      <c r="F335" s="11"/>
      <c r="G335" s="85">
        <f t="shared" ref="G335:M335" si="175">+SUM(G336:G340)</f>
        <v>58156.17</v>
      </c>
      <c r="H335" s="85">
        <f t="shared" si="175"/>
        <v>64040.52</v>
      </c>
      <c r="I335" s="85">
        <f t="shared" si="175"/>
        <v>64494.2</v>
      </c>
      <c r="J335" s="85">
        <f t="shared" si="175"/>
        <v>79491</v>
      </c>
      <c r="K335" s="85">
        <f t="shared" si="175"/>
        <v>76309.624999999985</v>
      </c>
      <c r="L335" s="85">
        <f t="shared" si="175"/>
        <v>79093.507500000007</v>
      </c>
      <c r="M335" s="85">
        <f t="shared" si="175"/>
        <v>61193.049750000006</v>
      </c>
      <c r="N335" s="85">
        <f>+SUM(N336:N340)</f>
        <v>44047.566999999995</v>
      </c>
      <c r="O335" s="85">
        <f>+SUM(O336:O340)</f>
        <v>61776.900333333338</v>
      </c>
      <c r="P335" s="85">
        <f t="shared" ref="P335:AA335" si="176">+SUM(P336:P340)</f>
        <v>61776.900333333338</v>
      </c>
      <c r="Q335" s="85">
        <f t="shared" si="176"/>
        <v>61776.900333333338</v>
      </c>
      <c r="R335" s="85">
        <f t="shared" si="176"/>
        <v>61776.900333333338</v>
      </c>
      <c r="S335" s="85">
        <f t="shared" si="176"/>
        <v>61776.900333333338</v>
      </c>
      <c r="T335" s="85">
        <f t="shared" si="176"/>
        <v>61776.900333333338</v>
      </c>
      <c r="U335" s="85">
        <f t="shared" si="176"/>
        <v>61776.900333333338</v>
      </c>
      <c r="V335" s="85">
        <f t="shared" si="176"/>
        <v>61776.900333333338</v>
      </c>
      <c r="W335" s="85">
        <f t="shared" si="176"/>
        <v>61776.900333333338</v>
      </c>
      <c r="X335" s="85">
        <f t="shared" si="176"/>
        <v>61776.900333333338</v>
      </c>
      <c r="Y335" s="85">
        <f t="shared" si="176"/>
        <v>61776.900333333338</v>
      </c>
      <c r="Z335" s="85">
        <f t="shared" si="176"/>
        <v>61776.900333333338</v>
      </c>
      <c r="AA335" s="85">
        <f t="shared" si="176"/>
        <v>61776.900333333338</v>
      </c>
    </row>
    <row r="336" spans="2:27" x14ac:dyDescent="0.3">
      <c r="B336" s="57" t="s">
        <v>13</v>
      </c>
      <c r="C336" s="392"/>
      <c r="D336" s="57"/>
      <c r="E336" s="57"/>
      <c r="F336" s="57"/>
      <c r="G336" s="78"/>
      <c r="H336" s="78"/>
      <c r="I336" s="78"/>
      <c r="J336" s="78"/>
      <c r="K336" s="78"/>
      <c r="L336" s="78"/>
      <c r="M336" s="78"/>
      <c r="N336" s="78"/>
      <c r="O336" s="78"/>
      <c r="P336" s="78"/>
      <c r="Q336" s="78"/>
      <c r="R336" s="78"/>
      <c r="S336" s="78"/>
      <c r="T336" s="78"/>
      <c r="U336" s="78"/>
      <c r="V336" s="78"/>
      <c r="W336" s="78"/>
      <c r="X336" s="78"/>
      <c r="Y336" s="78"/>
      <c r="Z336" s="78"/>
      <c r="AA336" s="78"/>
    </row>
    <row r="337" spans="2:27" x14ac:dyDescent="0.3">
      <c r="B337" s="47" t="s">
        <v>191</v>
      </c>
      <c r="C337" s="423">
        <v>2007</v>
      </c>
      <c r="D337" s="426">
        <v>21</v>
      </c>
      <c r="E337" s="47"/>
      <c r="F337" s="47"/>
      <c r="G337" s="49">
        <v>58156.17</v>
      </c>
      <c r="H337" s="49">
        <v>64040.52</v>
      </c>
      <c r="I337" s="49">
        <v>64494.2</v>
      </c>
      <c r="J337" s="49">
        <v>79491</v>
      </c>
      <c r="K337" s="49">
        <v>65694</v>
      </c>
      <c r="L337" s="49">
        <v>62146</v>
      </c>
      <c r="M337" s="49">
        <v>50538</v>
      </c>
      <c r="N337" s="49">
        <v>29748</v>
      </c>
      <c r="O337" s="49">
        <f t="shared" ref="O337" si="177">+AVERAGE(L337:N337)</f>
        <v>47477.333333333336</v>
      </c>
      <c r="P337" s="49">
        <f t="shared" ref="P337:AA338" si="178">+O337</f>
        <v>47477.333333333336</v>
      </c>
      <c r="Q337" s="49">
        <f t="shared" si="178"/>
        <v>47477.333333333336</v>
      </c>
      <c r="R337" s="49">
        <f t="shared" si="178"/>
        <v>47477.333333333336</v>
      </c>
      <c r="S337" s="49">
        <f t="shared" si="178"/>
        <v>47477.333333333336</v>
      </c>
      <c r="T337" s="49">
        <f t="shared" si="178"/>
        <v>47477.333333333336</v>
      </c>
      <c r="U337" s="49">
        <f t="shared" si="178"/>
        <v>47477.333333333336</v>
      </c>
      <c r="V337" s="49">
        <f t="shared" si="178"/>
        <v>47477.333333333336</v>
      </c>
      <c r="W337" s="49">
        <f t="shared" si="178"/>
        <v>47477.333333333336</v>
      </c>
      <c r="X337" s="49">
        <f t="shared" si="178"/>
        <v>47477.333333333336</v>
      </c>
      <c r="Y337" s="49">
        <f t="shared" si="178"/>
        <v>47477.333333333336</v>
      </c>
      <c r="Z337" s="49">
        <f t="shared" si="178"/>
        <v>47477.333333333336</v>
      </c>
      <c r="AA337" s="49">
        <f t="shared" si="178"/>
        <v>47477.333333333336</v>
      </c>
    </row>
    <row r="338" spans="2:27" x14ac:dyDescent="0.3">
      <c r="B338" s="47" t="s">
        <v>346</v>
      </c>
      <c r="C338" s="423">
        <v>2017</v>
      </c>
      <c r="D338" s="426">
        <v>5</v>
      </c>
      <c r="E338" s="47"/>
      <c r="F338" s="47"/>
      <c r="G338" s="49">
        <v>0</v>
      </c>
      <c r="H338" s="49">
        <v>0</v>
      </c>
      <c r="I338" s="49">
        <v>0</v>
      </c>
      <c r="J338" s="49">
        <v>0</v>
      </c>
      <c r="K338" s="49">
        <v>0</v>
      </c>
      <c r="L338" s="49">
        <v>0</v>
      </c>
      <c r="M338" s="49">
        <v>0</v>
      </c>
      <c r="N338" s="49">
        <v>3137</v>
      </c>
      <c r="O338" s="49">
        <f>+N338</f>
        <v>3137</v>
      </c>
      <c r="P338" s="49">
        <f t="shared" si="178"/>
        <v>3137</v>
      </c>
      <c r="Q338" s="49">
        <f t="shared" si="178"/>
        <v>3137</v>
      </c>
      <c r="R338" s="49">
        <f t="shared" si="178"/>
        <v>3137</v>
      </c>
      <c r="S338" s="49">
        <f t="shared" si="178"/>
        <v>3137</v>
      </c>
      <c r="T338" s="49">
        <f t="shared" si="178"/>
        <v>3137</v>
      </c>
      <c r="U338" s="49">
        <f t="shared" si="178"/>
        <v>3137</v>
      </c>
      <c r="V338" s="49">
        <f t="shared" si="178"/>
        <v>3137</v>
      </c>
      <c r="W338" s="49">
        <f t="shared" si="178"/>
        <v>3137</v>
      </c>
      <c r="X338" s="49">
        <f t="shared" si="178"/>
        <v>3137</v>
      </c>
      <c r="Y338" s="49">
        <f t="shared" si="178"/>
        <v>3137</v>
      </c>
      <c r="Z338" s="49">
        <f t="shared" si="178"/>
        <v>3137</v>
      </c>
      <c r="AA338" s="49">
        <f t="shared" si="178"/>
        <v>3137</v>
      </c>
    </row>
    <row r="339" spans="2:27" x14ac:dyDescent="0.3">
      <c r="B339" s="57" t="s">
        <v>17</v>
      </c>
      <c r="C339" s="392"/>
      <c r="D339" s="57"/>
      <c r="E339" s="57"/>
      <c r="F339" s="57"/>
      <c r="G339" s="78"/>
      <c r="H339" s="78"/>
      <c r="I339" s="78"/>
      <c r="J339" s="78"/>
      <c r="K339" s="78"/>
      <c r="L339" s="78"/>
      <c r="M339" s="78"/>
      <c r="N339" s="78"/>
      <c r="O339" s="78"/>
      <c r="P339" s="78"/>
      <c r="Q339" s="78"/>
      <c r="R339" s="78"/>
      <c r="S339" s="78"/>
      <c r="T339" s="78"/>
      <c r="U339" s="78"/>
      <c r="V339" s="78"/>
      <c r="W339" s="78"/>
      <c r="X339" s="78"/>
      <c r="Y339" s="78"/>
      <c r="Z339" s="78"/>
      <c r="AA339" s="78"/>
    </row>
    <row r="340" spans="2:27" x14ac:dyDescent="0.3">
      <c r="B340" s="47" t="s">
        <v>325</v>
      </c>
      <c r="C340" s="423">
        <v>2014</v>
      </c>
      <c r="D340" s="426">
        <v>14.57</v>
      </c>
      <c r="E340" s="47"/>
      <c r="F340" s="47"/>
      <c r="G340" s="49">
        <v>0</v>
      </c>
      <c r="H340" s="49">
        <v>0</v>
      </c>
      <c r="I340" s="49">
        <v>0</v>
      </c>
      <c r="J340" s="49">
        <v>0</v>
      </c>
      <c r="K340" s="49">
        <v>10615.624999999991</v>
      </c>
      <c r="L340" s="49">
        <v>16947.507500000011</v>
      </c>
      <c r="M340" s="49">
        <v>10655.049750000002</v>
      </c>
      <c r="N340" s="49">
        <v>11162.566999999999</v>
      </c>
      <c r="O340" s="49">
        <f>+N340</f>
        <v>11162.566999999999</v>
      </c>
      <c r="P340" s="49">
        <f>+O340</f>
        <v>11162.566999999999</v>
      </c>
      <c r="Q340" s="49">
        <f t="shared" ref="Q340:AA340" si="179">+P340</f>
        <v>11162.566999999999</v>
      </c>
      <c r="R340" s="49">
        <f t="shared" si="179"/>
        <v>11162.566999999999</v>
      </c>
      <c r="S340" s="49">
        <f t="shared" si="179"/>
        <v>11162.566999999999</v>
      </c>
      <c r="T340" s="49">
        <f t="shared" si="179"/>
        <v>11162.566999999999</v>
      </c>
      <c r="U340" s="49">
        <f t="shared" si="179"/>
        <v>11162.566999999999</v>
      </c>
      <c r="V340" s="49">
        <f t="shared" si="179"/>
        <v>11162.566999999999</v>
      </c>
      <c r="W340" s="49">
        <f t="shared" si="179"/>
        <v>11162.566999999999</v>
      </c>
      <c r="X340" s="49">
        <f t="shared" si="179"/>
        <v>11162.566999999999</v>
      </c>
      <c r="Y340" s="49">
        <f t="shared" si="179"/>
        <v>11162.566999999999</v>
      </c>
      <c r="Z340" s="49">
        <f t="shared" si="179"/>
        <v>11162.566999999999</v>
      </c>
      <c r="AA340" s="49">
        <f t="shared" si="179"/>
        <v>11162.566999999999</v>
      </c>
    </row>
    <row r="341" spans="2:27" x14ac:dyDescent="0.3">
      <c r="B341" s="15"/>
      <c r="C341" s="430"/>
      <c r="D341" s="429"/>
    </row>
    <row r="342" spans="2:27" x14ac:dyDescent="0.3">
      <c r="B342" s="439"/>
      <c r="C342" s="440"/>
      <c r="D342" s="440"/>
      <c r="E342" s="440"/>
      <c r="F342" s="438"/>
      <c r="G342" s="381">
        <v>2010</v>
      </c>
      <c r="H342" s="381">
        <v>2011</v>
      </c>
      <c r="I342" s="381">
        <v>2012</v>
      </c>
      <c r="J342" s="381">
        <v>2013</v>
      </c>
      <c r="K342" s="381">
        <v>2014</v>
      </c>
      <c r="L342" s="381">
        <v>2015</v>
      </c>
      <c r="M342" s="381">
        <v>2016</v>
      </c>
      <c r="N342" s="381">
        <v>2017</v>
      </c>
      <c r="O342" s="381">
        <v>2018</v>
      </c>
      <c r="P342" s="381">
        <v>2019</v>
      </c>
      <c r="Q342" s="381">
        <v>2020</v>
      </c>
      <c r="R342" s="381">
        <v>2021</v>
      </c>
      <c r="S342" s="381">
        <v>2022</v>
      </c>
      <c r="T342" s="381">
        <v>2023</v>
      </c>
      <c r="U342" s="381">
        <v>2024</v>
      </c>
      <c r="V342" s="381">
        <v>2025</v>
      </c>
      <c r="W342" s="381">
        <v>2026</v>
      </c>
      <c r="X342" s="381">
        <v>2027</v>
      </c>
      <c r="Y342" s="381">
        <v>2028</v>
      </c>
      <c r="Z342" s="381">
        <v>2029</v>
      </c>
      <c r="AA342" s="381">
        <v>2030</v>
      </c>
    </row>
    <row r="343" spans="2:27" ht="28.8" x14ac:dyDescent="0.3">
      <c r="B343" s="84" t="s">
        <v>164</v>
      </c>
      <c r="C343" s="80" t="s">
        <v>279</v>
      </c>
      <c r="D343" s="389" t="s">
        <v>397</v>
      </c>
      <c r="E343" s="388" t="s">
        <v>247</v>
      </c>
      <c r="F343" s="84"/>
      <c r="G343" s="79" t="s">
        <v>165</v>
      </c>
      <c r="H343" s="79" t="s">
        <v>165</v>
      </c>
      <c r="I343" s="79" t="s">
        <v>165</v>
      </c>
      <c r="J343" s="79" t="s">
        <v>165</v>
      </c>
      <c r="K343" s="79" t="s">
        <v>165</v>
      </c>
      <c r="L343" s="79" t="s">
        <v>165</v>
      </c>
      <c r="M343" s="79" t="s">
        <v>165</v>
      </c>
      <c r="N343" s="79" t="s">
        <v>165</v>
      </c>
      <c r="O343" s="79" t="s">
        <v>165</v>
      </c>
      <c r="P343" s="79" t="s">
        <v>165</v>
      </c>
      <c r="Q343" s="79" t="s">
        <v>165</v>
      </c>
      <c r="R343" s="79" t="s">
        <v>165</v>
      </c>
      <c r="S343" s="79" t="s">
        <v>165</v>
      </c>
      <c r="T343" s="79" t="s">
        <v>165</v>
      </c>
      <c r="U343" s="79" t="s">
        <v>165</v>
      </c>
      <c r="V343" s="79" t="s">
        <v>165</v>
      </c>
      <c r="W343" s="79" t="s">
        <v>165</v>
      </c>
      <c r="X343" s="79" t="s">
        <v>165</v>
      </c>
      <c r="Y343" s="79" t="s">
        <v>165</v>
      </c>
      <c r="Z343" s="79" t="s">
        <v>165</v>
      </c>
      <c r="AA343" s="79" t="s">
        <v>165</v>
      </c>
    </row>
    <row r="344" spans="2:27" x14ac:dyDescent="0.3">
      <c r="B344" s="7" t="s">
        <v>8</v>
      </c>
      <c r="C344" s="11"/>
      <c r="D344" s="11"/>
      <c r="E344" s="11"/>
      <c r="F344" s="11"/>
      <c r="G344" s="85">
        <f t="shared" ref="G344:M344" si="180">+SUM(G345:G347)</f>
        <v>0</v>
      </c>
      <c r="H344" s="85">
        <f t="shared" si="180"/>
        <v>0</v>
      </c>
      <c r="I344" s="85">
        <f t="shared" si="180"/>
        <v>0</v>
      </c>
      <c r="J344" s="85">
        <f t="shared" si="180"/>
        <v>36.528500000000001</v>
      </c>
      <c r="K344" s="85">
        <f t="shared" si="180"/>
        <v>8157.7569999999996</v>
      </c>
      <c r="L344" s="85">
        <f t="shared" si="180"/>
        <v>11450.126</v>
      </c>
      <c r="M344" s="85">
        <f t="shared" si="180"/>
        <v>34911.444000000003</v>
      </c>
      <c r="N344" s="85">
        <f>+SUM(N345:N347)</f>
        <v>60383.278999999995</v>
      </c>
      <c r="O344" s="85">
        <f t="shared" ref="O344:AA344" si="181">+SUM(O345:O347)</f>
        <v>86072.578999999998</v>
      </c>
      <c r="P344" s="85">
        <f t="shared" si="181"/>
        <v>86072.578999999998</v>
      </c>
      <c r="Q344" s="85">
        <f t="shared" si="181"/>
        <v>86072.578999999998</v>
      </c>
      <c r="R344" s="85">
        <f t="shared" si="181"/>
        <v>86072.578999999998</v>
      </c>
      <c r="S344" s="85">
        <f t="shared" si="181"/>
        <v>86072.578999999998</v>
      </c>
      <c r="T344" s="85">
        <f t="shared" si="181"/>
        <v>86072.578999999998</v>
      </c>
      <c r="U344" s="85">
        <f t="shared" si="181"/>
        <v>86072.578999999998</v>
      </c>
      <c r="V344" s="85">
        <f t="shared" si="181"/>
        <v>86072.578999999998</v>
      </c>
      <c r="W344" s="85">
        <f t="shared" si="181"/>
        <v>86072.578999999998</v>
      </c>
      <c r="X344" s="85">
        <f t="shared" si="181"/>
        <v>86072.578999999998</v>
      </c>
      <c r="Y344" s="85">
        <f t="shared" si="181"/>
        <v>86072.578999999998</v>
      </c>
      <c r="Z344" s="85">
        <f t="shared" si="181"/>
        <v>86072.578999999998</v>
      </c>
      <c r="AA344" s="85">
        <f t="shared" si="181"/>
        <v>86072.578999999998</v>
      </c>
    </row>
    <row r="345" spans="2:27" x14ac:dyDescent="0.3">
      <c r="B345" s="57" t="s">
        <v>9</v>
      </c>
      <c r="C345" s="57"/>
      <c r="D345" s="57"/>
      <c r="E345" s="57"/>
      <c r="F345" s="57"/>
      <c r="G345" s="78"/>
      <c r="H345" s="78"/>
      <c r="I345" s="78"/>
      <c r="J345" s="78"/>
      <c r="K345" s="78"/>
      <c r="L345" s="78"/>
      <c r="M345" s="78"/>
      <c r="N345" s="78"/>
      <c r="O345" s="78"/>
      <c r="P345" s="78"/>
      <c r="Q345" s="78"/>
      <c r="R345" s="78"/>
      <c r="S345" s="78"/>
      <c r="T345" s="78"/>
      <c r="U345" s="78"/>
      <c r="V345" s="78"/>
      <c r="W345" s="78"/>
      <c r="X345" s="78"/>
      <c r="Y345" s="78"/>
      <c r="Z345" s="78"/>
      <c r="AA345" s="78"/>
    </row>
    <row r="346" spans="2:27" x14ac:dyDescent="0.3">
      <c r="B346" s="47" t="s">
        <v>340</v>
      </c>
      <c r="C346" s="227">
        <v>2013</v>
      </c>
      <c r="D346" s="426">
        <v>3</v>
      </c>
      <c r="E346" s="110">
        <v>0.35</v>
      </c>
      <c r="F346" s="47"/>
      <c r="G346" s="49">
        <v>0</v>
      </c>
      <c r="H346" s="49">
        <v>0</v>
      </c>
      <c r="I346" s="49">
        <v>0</v>
      </c>
      <c r="J346" s="49">
        <v>36.528500000000001</v>
      </c>
      <c r="K346" s="49">
        <v>8157.7569999999996</v>
      </c>
      <c r="L346" s="49">
        <v>11450.126</v>
      </c>
      <c r="M346" s="49">
        <v>13207.373</v>
      </c>
      <c r="N346" s="49">
        <v>12488.579</v>
      </c>
      <c r="O346" s="49">
        <f>+N346</f>
        <v>12488.579</v>
      </c>
      <c r="P346" s="49">
        <f>+O346</f>
        <v>12488.579</v>
      </c>
      <c r="Q346" s="49">
        <f t="shared" ref="Q346:AA347" si="182">+P346</f>
        <v>12488.579</v>
      </c>
      <c r="R346" s="49">
        <f t="shared" si="182"/>
        <v>12488.579</v>
      </c>
      <c r="S346" s="49">
        <f t="shared" si="182"/>
        <v>12488.579</v>
      </c>
      <c r="T346" s="49">
        <f t="shared" si="182"/>
        <v>12488.579</v>
      </c>
      <c r="U346" s="49">
        <f t="shared" si="182"/>
        <v>12488.579</v>
      </c>
      <c r="V346" s="49">
        <f t="shared" si="182"/>
        <v>12488.579</v>
      </c>
      <c r="W346" s="49">
        <f t="shared" si="182"/>
        <v>12488.579</v>
      </c>
      <c r="X346" s="49">
        <f t="shared" si="182"/>
        <v>12488.579</v>
      </c>
      <c r="Y346" s="49">
        <f t="shared" si="182"/>
        <v>12488.579</v>
      </c>
      <c r="Z346" s="49">
        <f t="shared" si="182"/>
        <v>12488.579</v>
      </c>
      <c r="AA346" s="49">
        <f t="shared" si="182"/>
        <v>12488.579</v>
      </c>
    </row>
    <row r="347" spans="2:27" x14ac:dyDescent="0.3">
      <c r="B347" s="47" t="s">
        <v>341</v>
      </c>
      <c r="C347" s="227">
        <v>2016</v>
      </c>
      <c r="D347" s="426">
        <v>24</v>
      </c>
      <c r="E347" s="110">
        <v>0.35</v>
      </c>
      <c r="F347" s="47"/>
      <c r="G347" s="49">
        <v>0</v>
      </c>
      <c r="H347" s="49">
        <v>0</v>
      </c>
      <c r="I347" s="49">
        <v>0</v>
      </c>
      <c r="J347" s="49">
        <v>0</v>
      </c>
      <c r="K347" s="49">
        <v>0</v>
      </c>
      <c r="L347" s="49">
        <v>0</v>
      </c>
      <c r="M347" s="49">
        <v>21704.071000000004</v>
      </c>
      <c r="N347" s="49">
        <v>47894.7</v>
      </c>
      <c r="O347" s="49">
        <f>+D347*8760*E347</f>
        <v>73584</v>
      </c>
      <c r="P347" s="49">
        <f>+O347</f>
        <v>73584</v>
      </c>
      <c r="Q347" s="49">
        <f t="shared" si="182"/>
        <v>73584</v>
      </c>
      <c r="R347" s="49">
        <f t="shared" si="182"/>
        <v>73584</v>
      </c>
      <c r="S347" s="49">
        <f t="shared" si="182"/>
        <v>73584</v>
      </c>
      <c r="T347" s="49">
        <f t="shared" si="182"/>
        <v>73584</v>
      </c>
      <c r="U347" s="49">
        <f t="shared" si="182"/>
        <v>73584</v>
      </c>
      <c r="V347" s="49">
        <f t="shared" si="182"/>
        <v>73584</v>
      </c>
      <c r="W347" s="49">
        <f t="shared" si="182"/>
        <v>73584</v>
      </c>
      <c r="X347" s="49">
        <f t="shared" si="182"/>
        <v>73584</v>
      </c>
      <c r="Y347" s="49">
        <f t="shared" si="182"/>
        <v>73584</v>
      </c>
      <c r="Z347" s="49">
        <f t="shared" si="182"/>
        <v>73584</v>
      </c>
      <c r="AA347" s="49">
        <f t="shared" si="182"/>
        <v>73584</v>
      </c>
    </row>
  </sheetData>
  <conditionalFormatting sqref="F191:F258">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6633"/>
  </sheetPr>
  <dimension ref="B3:AC347"/>
  <sheetViews>
    <sheetView topLeftCell="A52" zoomScale="80" zoomScaleNormal="80" workbookViewId="0">
      <pane xSplit="2" ySplit="2" topLeftCell="O54" activePane="bottomRight" state="frozen"/>
      <selection activeCell="A52" sqref="A52"/>
      <selection pane="topRight" activeCell="C52" sqref="C52"/>
      <selection pane="bottomLeft" activeCell="A54" sqref="A54"/>
      <selection pane="bottomRight" activeCell="A52" sqref="A52:XFD52"/>
    </sheetView>
  </sheetViews>
  <sheetFormatPr baseColWidth="10" defaultColWidth="9.109375" defaultRowHeight="14.4" x14ac:dyDescent="0.3"/>
  <cols>
    <col min="1" max="1" width="9.109375" style="1"/>
    <col min="2" max="2" width="54.33203125" style="1" customWidth="1"/>
    <col min="3" max="3" width="15.33203125" style="1" customWidth="1"/>
    <col min="4" max="4" width="12.6640625" style="1" customWidth="1"/>
    <col min="5" max="5" width="17.109375" style="1" customWidth="1"/>
    <col min="6" max="6" width="19.88671875" style="1" customWidth="1"/>
    <col min="7" max="11" width="15" style="1" bestFit="1" customWidth="1"/>
    <col min="12" max="13" width="14.5546875" style="1" bestFit="1" customWidth="1"/>
    <col min="14" max="14" width="15" style="1" bestFit="1" customWidth="1"/>
    <col min="15" max="15" width="14.5546875" style="1" bestFit="1" customWidth="1"/>
    <col min="16" max="16" width="15.6640625" style="1" bestFit="1" customWidth="1"/>
    <col min="17" max="17" width="16" style="1" bestFit="1" customWidth="1"/>
    <col min="18" max="25" width="15.6640625" style="1" bestFit="1" customWidth="1"/>
    <col min="26" max="26" width="16" style="1" bestFit="1" customWidth="1"/>
    <col min="27" max="27" width="18" style="1" bestFit="1" customWidth="1"/>
    <col min="28" max="28" width="19.44140625" style="1" bestFit="1" customWidth="1"/>
    <col min="29" max="29" width="12.88671875" style="1" bestFit="1" customWidth="1"/>
    <col min="30" max="30" width="9.109375" style="1"/>
    <col min="31" max="31" width="13.44140625" style="1" bestFit="1" customWidth="1"/>
    <col min="32" max="16384" width="9.109375" style="1"/>
  </cols>
  <sheetData>
    <row r="3" spans="2:29" ht="23.4" x14ac:dyDescent="0.45">
      <c r="B3" s="477" t="s">
        <v>482</v>
      </c>
    </row>
    <row r="6" spans="2:29" x14ac:dyDescent="0.3">
      <c r="B6" s="457"/>
      <c r="C6" s="458"/>
      <c r="D6" s="452" t="s">
        <v>452</v>
      </c>
      <c r="E6" s="440"/>
      <c r="F6" s="440"/>
      <c r="G6" s="381">
        <v>2010</v>
      </c>
      <c r="H6" s="381">
        <v>2011</v>
      </c>
      <c r="I6" s="381">
        <v>2012</v>
      </c>
      <c r="J6" s="381">
        <v>2013</v>
      </c>
      <c r="K6" s="381">
        <v>2014</v>
      </c>
      <c r="L6" s="381">
        <v>2015</v>
      </c>
      <c r="M6" s="381">
        <v>2016</v>
      </c>
      <c r="N6" s="381">
        <v>2017</v>
      </c>
      <c r="O6" s="381">
        <v>2018</v>
      </c>
      <c r="P6" s="381">
        <v>2019</v>
      </c>
      <c r="Q6" s="381">
        <v>2020</v>
      </c>
      <c r="R6" s="381">
        <v>2021</v>
      </c>
      <c r="S6" s="381">
        <v>2022</v>
      </c>
      <c r="T6" s="381">
        <v>2023</v>
      </c>
      <c r="U6" s="381">
        <v>2024</v>
      </c>
      <c r="V6" s="381">
        <v>2025</v>
      </c>
      <c r="W6" s="381">
        <v>2026</v>
      </c>
      <c r="X6" s="381">
        <v>2027</v>
      </c>
      <c r="Y6" s="381">
        <v>2028</v>
      </c>
      <c r="Z6" s="381">
        <v>2029</v>
      </c>
      <c r="AA6" s="381">
        <v>2030</v>
      </c>
    </row>
    <row r="7" spans="2:29" s="37" customFormat="1" x14ac:dyDescent="0.3">
      <c r="B7" s="34"/>
      <c r="C7" s="458"/>
      <c r="D7" s="453" t="s">
        <v>454</v>
      </c>
      <c r="E7" s="443"/>
      <c r="F7" s="443"/>
      <c r="G7" s="404">
        <f t="shared" ref="G7:M7" si="0">G8+G10</f>
        <v>1288.9499999999996</v>
      </c>
      <c r="H7" s="404">
        <f t="shared" si="0"/>
        <v>1288.9499999999996</v>
      </c>
      <c r="I7" s="404">
        <f t="shared" si="0"/>
        <v>1444.7699999999995</v>
      </c>
      <c r="J7" s="404">
        <f t="shared" si="0"/>
        <v>1480.1699999999996</v>
      </c>
      <c r="K7" s="404">
        <f t="shared" si="0"/>
        <v>1719.1199999999997</v>
      </c>
      <c r="L7" s="404">
        <f t="shared" si="0"/>
        <v>1948.1799999999998</v>
      </c>
      <c r="M7" s="404">
        <f t="shared" si="0"/>
        <v>1972.1799999999998</v>
      </c>
      <c r="N7" s="404">
        <f>N8+N10</f>
        <v>2097.1799999999998</v>
      </c>
      <c r="O7" s="404">
        <f t="shared" ref="O7:AA7" si="1">O8+O10</f>
        <v>2217.1799999999998</v>
      </c>
      <c r="P7" s="404">
        <f t="shared" si="1"/>
        <v>2386.1799999999998</v>
      </c>
      <c r="Q7" s="404">
        <f t="shared" si="1"/>
        <v>3101.0799999999995</v>
      </c>
      <c r="R7" s="404">
        <f t="shared" si="1"/>
        <v>3640.2799999999997</v>
      </c>
      <c r="S7" s="404">
        <f t="shared" si="1"/>
        <v>3640.2799999999997</v>
      </c>
      <c r="T7" s="404">
        <f t="shared" si="1"/>
        <v>3740.2799999999997</v>
      </c>
      <c r="U7" s="404">
        <f t="shared" si="1"/>
        <v>3740.2799999999997</v>
      </c>
      <c r="V7" s="404">
        <f t="shared" si="1"/>
        <v>5132.28</v>
      </c>
      <c r="W7" s="404">
        <f t="shared" si="1"/>
        <v>5132.28</v>
      </c>
      <c r="X7" s="404">
        <f t="shared" si="1"/>
        <v>5132.28</v>
      </c>
      <c r="Y7" s="404">
        <f t="shared" si="1"/>
        <v>5132.28</v>
      </c>
      <c r="Z7" s="404">
        <f t="shared" si="1"/>
        <v>9634.2800000000007</v>
      </c>
      <c r="AA7" s="404">
        <f t="shared" si="1"/>
        <v>11790.28</v>
      </c>
      <c r="AB7" s="37">
        <v>13387</v>
      </c>
      <c r="AC7" s="419">
        <f>AB7-AA7</f>
        <v>1596.7199999999993</v>
      </c>
    </row>
    <row r="8" spans="2:29" s="37" customFormat="1" x14ac:dyDescent="0.3">
      <c r="B8" s="13"/>
      <c r="C8" s="459"/>
      <c r="D8" s="454" t="s">
        <v>453</v>
      </c>
      <c r="E8" s="445"/>
      <c r="F8" s="445"/>
      <c r="G8" s="407">
        <f t="shared" ref="G8:L8" si="2">+H8-H25</f>
        <v>785.6799999999995</v>
      </c>
      <c r="H8" s="407">
        <f t="shared" si="2"/>
        <v>785.6799999999995</v>
      </c>
      <c r="I8" s="407">
        <f t="shared" si="2"/>
        <v>941.49999999999955</v>
      </c>
      <c r="J8" s="407">
        <f t="shared" si="2"/>
        <v>973.89999999999952</v>
      </c>
      <c r="K8" s="407">
        <f t="shared" si="2"/>
        <v>1198.2799999999995</v>
      </c>
      <c r="L8" s="407">
        <f t="shared" si="2"/>
        <v>1419.7399999999996</v>
      </c>
      <c r="M8" s="407">
        <f>+N8-N25</f>
        <v>1419.7399999999996</v>
      </c>
      <c r="N8" s="407">
        <f>OM_EF_2017!D22</f>
        <v>1419.7399999999996</v>
      </c>
      <c r="O8" s="407">
        <f>+N8+O25</f>
        <v>1419.7399999999996</v>
      </c>
      <c r="P8" s="407">
        <f t="shared" ref="P8:AA8" si="3">+O8+P25</f>
        <v>1419.7399999999996</v>
      </c>
      <c r="Q8" s="407">
        <f t="shared" si="3"/>
        <v>1419.7399999999996</v>
      </c>
      <c r="R8" s="407">
        <f t="shared" si="3"/>
        <v>1419.7399999999996</v>
      </c>
      <c r="S8" s="407">
        <f t="shared" si="3"/>
        <v>1419.7399999999996</v>
      </c>
      <c r="T8" s="407">
        <f t="shared" si="3"/>
        <v>1419.7399999999996</v>
      </c>
      <c r="U8" s="407">
        <f t="shared" si="3"/>
        <v>1419.7399999999996</v>
      </c>
      <c r="V8" s="407">
        <f t="shared" si="3"/>
        <v>1419.7399999999996</v>
      </c>
      <c r="W8" s="407">
        <f t="shared" si="3"/>
        <v>1419.7399999999996</v>
      </c>
      <c r="X8" s="407">
        <f t="shared" si="3"/>
        <v>1419.7399999999996</v>
      </c>
      <c r="Y8" s="407">
        <f t="shared" si="3"/>
        <v>1419.7399999999996</v>
      </c>
      <c r="Z8" s="407">
        <f t="shared" si="3"/>
        <v>1419.7399999999996</v>
      </c>
      <c r="AA8" s="407">
        <f t="shared" si="3"/>
        <v>1419.7399999999996</v>
      </c>
    </row>
    <row r="9" spans="2:29" s="37" customFormat="1" x14ac:dyDescent="0.3">
      <c r="B9" s="34"/>
      <c r="C9" s="458"/>
      <c r="D9" s="455" t="s">
        <v>402</v>
      </c>
      <c r="E9" s="447"/>
      <c r="F9" s="447"/>
      <c r="G9" s="413"/>
      <c r="H9" s="413"/>
      <c r="I9" s="413"/>
      <c r="J9" s="413"/>
      <c r="K9" s="413"/>
      <c r="L9" s="413"/>
      <c r="M9" s="413"/>
      <c r="N9" s="412">
        <f>+N8/N7</f>
        <v>0.67697574838592756</v>
      </c>
      <c r="O9" s="412">
        <f t="shared" ref="O9:AA9" si="4">+O8/O7</f>
        <v>0.64033592220748858</v>
      </c>
      <c r="P9" s="412">
        <f t="shared" si="4"/>
        <v>0.59498445213688811</v>
      </c>
      <c r="Q9" s="412">
        <f t="shared" si="4"/>
        <v>0.4578211461813303</v>
      </c>
      <c r="R9" s="412">
        <f t="shared" si="4"/>
        <v>0.39000846088762392</v>
      </c>
      <c r="S9" s="412">
        <f t="shared" si="4"/>
        <v>0.39000846088762392</v>
      </c>
      <c r="T9" s="412">
        <f t="shared" si="4"/>
        <v>0.37958120782401306</v>
      </c>
      <c r="U9" s="412">
        <f t="shared" si="4"/>
        <v>0.37958120782401306</v>
      </c>
      <c r="V9" s="412">
        <f t="shared" si="4"/>
        <v>0.27662949020708139</v>
      </c>
      <c r="W9" s="412">
        <f t="shared" si="4"/>
        <v>0.27662949020708139</v>
      </c>
      <c r="X9" s="412">
        <f t="shared" si="4"/>
        <v>0.27662949020708139</v>
      </c>
      <c r="Y9" s="412">
        <f t="shared" si="4"/>
        <v>0.27662949020708139</v>
      </c>
      <c r="Z9" s="412">
        <f t="shared" si="4"/>
        <v>0.14736337328788446</v>
      </c>
      <c r="AA9" s="412">
        <f t="shared" si="4"/>
        <v>0.12041613939618054</v>
      </c>
    </row>
    <row r="10" spans="2:29" x14ac:dyDescent="0.3">
      <c r="B10" s="13"/>
      <c r="C10" s="459"/>
      <c r="D10" s="454" t="s">
        <v>66</v>
      </c>
      <c r="E10" s="445"/>
      <c r="F10" s="445"/>
      <c r="G10" s="407">
        <f t="shared" ref="G10:M10" si="5">G12+G14+G16+G18+G20</f>
        <v>503.2700000000001</v>
      </c>
      <c r="H10" s="407">
        <f t="shared" si="5"/>
        <v>503.2700000000001</v>
      </c>
      <c r="I10" s="407">
        <f t="shared" si="5"/>
        <v>503.2700000000001</v>
      </c>
      <c r="J10" s="407">
        <f t="shared" si="5"/>
        <v>506.2700000000001</v>
      </c>
      <c r="K10" s="407">
        <f t="shared" si="5"/>
        <v>520.84000000000015</v>
      </c>
      <c r="L10" s="407">
        <f t="shared" si="5"/>
        <v>528.44000000000017</v>
      </c>
      <c r="M10" s="407">
        <f t="shared" si="5"/>
        <v>552.44000000000017</v>
      </c>
      <c r="N10" s="407">
        <f>N12+N14+N16+N18+N20</f>
        <v>677.44000000000017</v>
      </c>
      <c r="O10" s="407">
        <f t="shared" ref="O10:AA10" si="6">O12+O14+O16+O18+O20</f>
        <v>797.44000000000017</v>
      </c>
      <c r="P10" s="407">
        <f t="shared" si="6"/>
        <v>966.44000000000017</v>
      </c>
      <c r="Q10" s="407">
        <f t="shared" si="6"/>
        <v>1681.34</v>
      </c>
      <c r="R10" s="407">
        <f t="shared" si="6"/>
        <v>2220.5400000000004</v>
      </c>
      <c r="S10" s="407">
        <f t="shared" si="6"/>
        <v>2220.5400000000004</v>
      </c>
      <c r="T10" s="407">
        <f t="shared" si="6"/>
        <v>2320.5400000000004</v>
      </c>
      <c r="U10" s="407">
        <f t="shared" si="6"/>
        <v>2320.5400000000004</v>
      </c>
      <c r="V10" s="407">
        <f t="shared" si="6"/>
        <v>3712.5400000000004</v>
      </c>
      <c r="W10" s="407">
        <f t="shared" si="6"/>
        <v>3712.5400000000004</v>
      </c>
      <c r="X10" s="407">
        <f t="shared" si="6"/>
        <v>3712.5400000000004</v>
      </c>
      <c r="Y10" s="407">
        <f t="shared" si="6"/>
        <v>3712.5400000000004</v>
      </c>
      <c r="Z10" s="407">
        <f t="shared" si="6"/>
        <v>8214.5400000000009</v>
      </c>
      <c r="AA10" s="407">
        <f t="shared" si="6"/>
        <v>10370.540000000001</v>
      </c>
    </row>
    <row r="11" spans="2:29" x14ac:dyDescent="0.3">
      <c r="B11" s="34"/>
      <c r="C11" s="459"/>
      <c r="D11" s="455" t="s">
        <v>401</v>
      </c>
      <c r="E11" s="448"/>
      <c r="F11" s="448"/>
      <c r="G11" s="411"/>
      <c r="H11" s="411"/>
      <c r="I11" s="411"/>
      <c r="J11" s="411"/>
      <c r="K11" s="411"/>
      <c r="L11" s="411"/>
      <c r="M11" s="411"/>
      <c r="N11" s="412">
        <f>+N10/N7</f>
        <v>0.32302425161407233</v>
      </c>
      <c r="O11" s="412">
        <f t="shared" ref="O11:AA11" si="7">+O10/O7</f>
        <v>0.35966407779251131</v>
      </c>
      <c r="P11" s="412">
        <f t="shared" si="7"/>
        <v>0.40501554786311184</v>
      </c>
      <c r="Q11" s="412">
        <f t="shared" si="7"/>
        <v>0.5421788538186697</v>
      </c>
      <c r="R11" s="412">
        <f t="shared" si="7"/>
        <v>0.60999153911237614</v>
      </c>
      <c r="S11" s="412">
        <f t="shared" si="7"/>
        <v>0.60999153911237614</v>
      </c>
      <c r="T11" s="412">
        <f t="shared" si="7"/>
        <v>0.62041879217598694</v>
      </c>
      <c r="U11" s="412">
        <f t="shared" si="7"/>
        <v>0.62041879217598694</v>
      </c>
      <c r="V11" s="412">
        <f t="shared" si="7"/>
        <v>0.72337050979291861</v>
      </c>
      <c r="W11" s="412">
        <f t="shared" si="7"/>
        <v>0.72337050979291861</v>
      </c>
      <c r="X11" s="412">
        <f t="shared" si="7"/>
        <v>0.72337050979291861</v>
      </c>
      <c r="Y11" s="412">
        <f t="shared" si="7"/>
        <v>0.72337050979291861</v>
      </c>
      <c r="Z11" s="412">
        <f t="shared" si="7"/>
        <v>0.85263662671211549</v>
      </c>
      <c r="AA11" s="412">
        <f t="shared" si="7"/>
        <v>0.87958386060381943</v>
      </c>
      <c r="AB11" s="418">
        <v>0.79</v>
      </c>
    </row>
    <row r="12" spans="2:29" x14ac:dyDescent="0.3">
      <c r="B12" s="113"/>
      <c r="C12" s="459"/>
      <c r="D12" s="456" t="s">
        <v>456</v>
      </c>
      <c r="E12" s="445"/>
      <c r="F12" s="449"/>
      <c r="G12" s="407">
        <f t="shared" ref="G12:L12" si="8">+H12-H27</f>
        <v>482.2700000000001</v>
      </c>
      <c r="H12" s="407">
        <f t="shared" si="8"/>
        <v>482.2700000000001</v>
      </c>
      <c r="I12" s="407">
        <f t="shared" si="8"/>
        <v>482.2700000000001</v>
      </c>
      <c r="J12" s="407">
        <f t="shared" si="8"/>
        <v>482.2700000000001</v>
      </c>
      <c r="K12" s="407">
        <f t="shared" si="8"/>
        <v>482.2700000000001</v>
      </c>
      <c r="L12" s="407">
        <f t="shared" si="8"/>
        <v>489.87000000000012</v>
      </c>
      <c r="M12" s="407">
        <f>+N12-N27</f>
        <v>489.87000000000012</v>
      </c>
      <c r="N12" s="407">
        <f>OM_EF_2017!D90</f>
        <v>609.87000000000012</v>
      </c>
      <c r="O12" s="407">
        <f>+N12+O27</f>
        <v>664.87000000000012</v>
      </c>
      <c r="P12" s="407">
        <f t="shared" ref="P12:AA12" si="9">+O12+P27</f>
        <v>733.87000000000012</v>
      </c>
      <c r="Q12" s="407">
        <f t="shared" si="9"/>
        <v>1280.77</v>
      </c>
      <c r="R12" s="407">
        <f t="shared" si="9"/>
        <v>1774.97</v>
      </c>
      <c r="S12" s="407">
        <f t="shared" si="9"/>
        <v>1774.97</v>
      </c>
      <c r="T12" s="407">
        <f t="shared" si="9"/>
        <v>1774.97</v>
      </c>
      <c r="U12" s="407">
        <f t="shared" si="9"/>
        <v>1774.97</v>
      </c>
      <c r="V12" s="407">
        <f t="shared" si="9"/>
        <v>3166.9700000000003</v>
      </c>
      <c r="W12" s="407">
        <f t="shared" si="9"/>
        <v>3166.9700000000003</v>
      </c>
      <c r="X12" s="407">
        <f t="shared" si="9"/>
        <v>3166.9700000000003</v>
      </c>
      <c r="Y12" s="407">
        <f t="shared" si="9"/>
        <v>3166.9700000000003</v>
      </c>
      <c r="Z12" s="407">
        <f t="shared" si="9"/>
        <v>7668.97</v>
      </c>
      <c r="AA12" s="407">
        <f t="shared" si="9"/>
        <v>9348.9700000000012</v>
      </c>
    </row>
    <row r="13" spans="2:29" x14ac:dyDescent="0.3">
      <c r="B13" s="113"/>
      <c r="C13" s="459"/>
      <c r="D13" s="456" t="s">
        <v>457</v>
      </c>
      <c r="E13" s="445"/>
      <c r="F13" s="449"/>
      <c r="G13" s="81"/>
      <c r="H13" s="81"/>
      <c r="I13" s="81"/>
      <c r="J13" s="81"/>
      <c r="K13" s="81"/>
      <c r="L13" s="81"/>
      <c r="M13" s="81"/>
      <c r="N13" s="414">
        <f>+N12/N10</f>
        <v>0.90025684931506844</v>
      </c>
      <c r="O13" s="414">
        <f t="shared" ref="O13:AA13" si="10">+O12/O10</f>
        <v>0.8337555176565008</v>
      </c>
      <c r="P13" s="414">
        <f t="shared" si="10"/>
        <v>0.75935391747030334</v>
      </c>
      <c r="Q13" s="414">
        <f t="shared" si="10"/>
        <v>0.76175550453804708</v>
      </c>
      <c r="R13" s="414">
        <f t="shared" si="10"/>
        <v>0.7993416015924053</v>
      </c>
      <c r="S13" s="414">
        <f t="shared" si="10"/>
        <v>0.7993416015924053</v>
      </c>
      <c r="T13" s="414">
        <f t="shared" si="10"/>
        <v>0.76489523990105734</v>
      </c>
      <c r="U13" s="414">
        <f t="shared" si="10"/>
        <v>0.76489523990105734</v>
      </c>
      <c r="V13" s="414">
        <f t="shared" si="10"/>
        <v>0.853046701180324</v>
      </c>
      <c r="W13" s="414">
        <f t="shared" si="10"/>
        <v>0.853046701180324</v>
      </c>
      <c r="X13" s="414">
        <f t="shared" si="10"/>
        <v>0.853046701180324</v>
      </c>
      <c r="Y13" s="414">
        <f t="shared" si="10"/>
        <v>0.853046701180324</v>
      </c>
      <c r="Z13" s="414">
        <f t="shared" si="10"/>
        <v>0.93358483859108354</v>
      </c>
      <c r="AA13" s="414">
        <f t="shared" si="10"/>
        <v>0.90149307557754954</v>
      </c>
    </row>
    <row r="14" spans="2:29" x14ac:dyDescent="0.3">
      <c r="B14" s="113"/>
      <c r="C14" s="459"/>
      <c r="D14" s="456" t="s">
        <v>458</v>
      </c>
      <c r="E14" s="445"/>
      <c r="F14" s="449"/>
      <c r="G14" s="436">
        <f t="shared" ref="G14:L14" si="11">+H14-H28</f>
        <v>0</v>
      </c>
      <c r="H14" s="436">
        <f t="shared" si="11"/>
        <v>0</v>
      </c>
      <c r="I14" s="436">
        <f t="shared" si="11"/>
        <v>0</v>
      </c>
      <c r="J14" s="436">
        <f t="shared" si="11"/>
        <v>3</v>
      </c>
      <c r="K14" s="436">
        <f t="shared" si="11"/>
        <v>3</v>
      </c>
      <c r="L14" s="436">
        <f t="shared" si="11"/>
        <v>3</v>
      </c>
      <c r="M14" s="436">
        <f>+N14-N28</f>
        <v>27</v>
      </c>
      <c r="N14" s="407">
        <f>OM_EF_2017!D170</f>
        <v>27</v>
      </c>
      <c r="O14" s="407">
        <f>+N14+O28</f>
        <v>27</v>
      </c>
      <c r="P14" s="407">
        <f t="shared" ref="P14:AA14" si="12">+O14+P28</f>
        <v>27</v>
      </c>
      <c r="Q14" s="407">
        <f t="shared" si="12"/>
        <v>135</v>
      </c>
      <c r="R14" s="407">
        <f t="shared" si="12"/>
        <v>180</v>
      </c>
      <c r="S14" s="407">
        <f t="shared" si="12"/>
        <v>180</v>
      </c>
      <c r="T14" s="407">
        <f t="shared" si="12"/>
        <v>180</v>
      </c>
      <c r="U14" s="407">
        <f t="shared" si="12"/>
        <v>180</v>
      </c>
      <c r="V14" s="407">
        <f t="shared" si="12"/>
        <v>180</v>
      </c>
      <c r="W14" s="407">
        <f t="shared" si="12"/>
        <v>180</v>
      </c>
      <c r="X14" s="407">
        <f t="shared" si="12"/>
        <v>180</v>
      </c>
      <c r="Y14" s="407">
        <f t="shared" si="12"/>
        <v>180</v>
      </c>
      <c r="Z14" s="407">
        <f t="shared" si="12"/>
        <v>180</v>
      </c>
      <c r="AA14" s="407">
        <f t="shared" si="12"/>
        <v>456</v>
      </c>
    </row>
    <row r="15" spans="2:29" x14ac:dyDescent="0.3">
      <c r="B15" s="113"/>
      <c r="C15" s="460"/>
      <c r="D15" s="456" t="s">
        <v>459</v>
      </c>
      <c r="E15" s="450"/>
      <c r="F15" s="451"/>
      <c r="G15" s="414"/>
      <c r="H15" s="414"/>
      <c r="I15" s="414"/>
      <c r="J15" s="414"/>
      <c r="K15" s="414"/>
      <c r="L15" s="414"/>
      <c r="M15" s="414"/>
      <c r="N15" s="414">
        <f>+N14/N10</f>
        <v>3.9855928200283407E-2</v>
      </c>
      <c r="O15" s="414">
        <f t="shared" ref="O15:AA15" si="13">+O14/O10</f>
        <v>3.3858346709470299E-2</v>
      </c>
      <c r="P15" s="414">
        <f t="shared" si="13"/>
        <v>2.7937585364844166E-2</v>
      </c>
      <c r="Q15" s="414">
        <f t="shared" si="13"/>
        <v>8.0293099551548175E-2</v>
      </c>
      <c r="R15" s="414">
        <f t="shared" si="13"/>
        <v>8.1061363452133245E-2</v>
      </c>
      <c r="S15" s="414">
        <f t="shared" si="13"/>
        <v>8.1061363452133245E-2</v>
      </c>
      <c r="T15" s="414">
        <f t="shared" si="13"/>
        <v>7.7568152240426777E-2</v>
      </c>
      <c r="U15" s="414">
        <f t="shared" si="13"/>
        <v>7.7568152240426777E-2</v>
      </c>
      <c r="V15" s="414">
        <f t="shared" si="13"/>
        <v>4.8484326094803014E-2</v>
      </c>
      <c r="W15" s="414">
        <f t="shared" si="13"/>
        <v>4.8484326094803014E-2</v>
      </c>
      <c r="X15" s="414">
        <f t="shared" si="13"/>
        <v>4.8484326094803014E-2</v>
      </c>
      <c r="Y15" s="414">
        <f t="shared" si="13"/>
        <v>4.8484326094803014E-2</v>
      </c>
      <c r="Z15" s="414">
        <f t="shared" si="13"/>
        <v>2.1912365147652817E-2</v>
      </c>
      <c r="AA15" s="414">
        <f t="shared" si="13"/>
        <v>4.3970709336254424E-2</v>
      </c>
    </row>
    <row r="16" spans="2:29" x14ac:dyDescent="0.3">
      <c r="B16" s="113"/>
      <c r="C16" s="459"/>
      <c r="D16" s="456" t="s">
        <v>460</v>
      </c>
      <c r="E16" s="445"/>
      <c r="F16" s="449"/>
      <c r="G16" s="435">
        <f t="shared" ref="G16:L16" si="14">+H16-H29</f>
        <v>0</v>
      </c>
      <c r="H16" s="435">
        <f t="shared" si="14"/>
        <v>0</v>
      </c>
      <c r="I16" s="435">
        <f t="shared" si="14"/>
        <v>0</v>
      </c>
      <c r="J16" s="435">
        <f t="shared" si="14"/>
        <v>0</v>
      </c>
      <c r="K16" s="435">
        <f t="shared" si="14"/>
        <v>0</v>
      </c>
      <c r="L16" s="435">
        <f t="shared" si="14"/>
        <v>0</v>
      </c>
      <c r="M16" s="435">
        <f>+N16-N29</f>
        <v>0</v>
      </c>
      <c r="N16" s="407">
        <v>0</v>
      </c>
      <c r="O16" s="407">
        <f>+N16+O29</f>
        <v>65</v>
      </c>
      <c r="P16" s="407">
        <f t="shared" ref="P16:AA16" si="15">+O16+P29</f>
        <v>165</v>
      </c>
      <c r="Q16" s="407">
        <f t="shared" si="15"/>
        <v>170</v>
      </c>
      <c r="R16" s="407">
        <f t="shared" si="15"/>
        <v>170</v>
      </c>
      <c r="S16" s="407">
        <f t="shared" si="15"/>
        <v>170</v>
      </c>
      <c r="T16" s="407">
        <f t="shared" si="15"/>
        <v>170</v>
      </c>
      <c r="U16" s="407">
        <f t="shared" si="15"/>
        <v>170</v>
      </c>
      <c r="V16" s="407">
        <f t="shared" si="15"/>
        <v>170</v>
      </c>
      <c r="W16" s="407">
        <f t="shared" si="15"/>
        <v>170</v>
      </c>
      <c r="X16" s="407">
        <f t="shared" si="15"/>
        <v>170</v>
      </c>
      <c r="Y16" s="407">
        <f t="shared" si="15"/>
        <v>170</v>
      </c>
      <c r="Z16" s="407">
        <f t="shared" si="15"/>
        <v>170</v>
      </c>
      <c r="AA16" s="407">
        <f t="shared" si="15"/>
        <v>370</v>
      </c>
    </row>
    <row r="17" spans="2:27" x14ac:dyDescent="0.3">
      <c r="B17" s="113"/>
      <c r="C17" s="460"/>
      <c r="D17" s="456" t="s">
        <v>461</v>
      </c>
      <c r="E17" s="450"/>
      <c r="F17" s="451"/>
      <c r="G17" s="414"/>
      <c r="H17" s="414"/>
      <c r="I17" s="414"/>
      <c r="J17" s="414"/>
      <c r="K17" s="414"/>
      <c r="L17" s="414"/>
      <c r="M17" s="414"/>
      <c r="N17" s="414">
        <f>+N16/N10</f>
        <v>0</v>
      </c>
      <c r="O17" s="414">
        <f t="shared" ref="O17:AA17" si="16">+O16/O10</f>
        <v>8.1510834670947011E-2</v>
      </c>
      <c r="P17" s="414">
        <f t="shared" si="16"/>
        <v>0.17072968834071434</v>
      </c>
      <c r="Q17" s="414">
        <f t="shared" si="16"/>
        <v>0.10110982906491252</v>
      </c>
      <c r="R17" s="414">
        <f t="shared" si="16"/>
        <v>7.655795437145918E-2</v>
      </c>
      <c r="S17" s="414">
        <f t="shared" si="16"/>
        <v>7.655795437145918E-2</v>
      </c>
      <c r="T17" s="414">
        <f t="shared" si="16"/>
        <v>7.3258810449291958E-2</v>
      </c>
      <c r="U17" s="414">
        <f t="shared" si="16"/>
        <v>7.3258810449291958E-2</v>
      </c>
      <c r="V17" s="414">
        <f t="shared" si="16"/>
        <v>4.5790752422869514E-2</v>
      </c>
      <c r="W17" s="414">
        <f t="shared" si="16"/>
        <v>4.5790752422869514E-2</v>
      </c>
      <c r="X17" s="414">
        <f t="shared" si="16"/>
        <v>4.5790752422869514E-2</v>
      </c>
      <c r="Y17" s="414">
        <f t="shared" si="16"/>
        <v>4.5790752422869514E-2</v>
      </c>
      <c r="Z17" s="414">
        <f t="shared" si="16"/>
        <v>2.0695011528338771E-2</v>
      </c>
      <c r="AA17" s="414">
        <f t="shared" si="16"/>
        <v>3.5677987838627495E-2</v>
      </c>
    </row>
    <row r="18" spans="2:27" x14ac:dyDescent="0.3">
      <c r="B18" s="113"/>
      <c r="C18" s="459"/>
      <c r="D18" s="456" t="s">
        <v>462</v>
      </c>
      <c r="E18" s="445"/>
      <c r="F18" s="449"/>
      <c r="G18" s="435">
        <f t="shared" ref="G18" si="17">+H18-G30</f>
        <v>0</v>
      </c>
      <c r="H18" s="435">
        <f t="shared" ref="H18:L18" si="18">+I18-I30</f>
        <v>0</v>
      </c>
      <c r="I18" s="435">
        <f t="shared" si="18"/>
        <v>0</v>
      </c>
      <c r="J18" s="435">
        <f t="shared" si="18"/>
        <v>0</v>
      </c>
      <c r="K18" s="435">
        <f t="shared" si="18"/>
        <v>0</v>
      </c>
      <c r="L18" s="435">
        <f t="shared" si="18"/>
        <v>0</v>
      </c>
      <c r="M18" s="435">
        <f>+N18-N30</f>
        <v>0</v>
      </c>
      <c r="N18" s="407">
        <v>0</v>
      </c>
      <c r="O18" s="407">
        <f>+N18+O30</f>
        <v>0</v>
      </c>
      <c r="P18" s="407">
        <f t="shared" ref="P18:AA18" si="19">+O18+P30</f>
        <v>0</v>
      </c>
      <c r="Q18" s="407">
        <f t="shared" si="19"/>
        <v>5</v>
      </c>
      <c r="R18" s="407">
        <f t="shared" si="19"/>
        <v>5</v>
      </c>
      <c r="S18" s="407">
        <f t="shared" si="19"/>
        <v>5</v>
      </c>
      <c r="T18" s="407">
        <f t="shared" si="19"/>
        <v>105</v>
      </c>
      <c r="U18" s="407">
        <f t="shared" si="19"/>
        <v>105</v>
      </c>
      <c r="V18" s="407">
        <f t="shared" si="19"/>
        <v>105</v>
      </c>
      <c r="W18" s="407">
        <f t="shared" si="19"/>
        <v>105</v>
      </c>
      <c r="X18" s="407">
        <f t="shared" si="19"/>
        <v>105</v>
      </c>
      <c r="Y18" s="407">
        <f t="shared" si="19"/>
        <v>105</v>
      </c>
      <c r="Z18" s="407">
        <f t="shared" si="19"/>
        <v>105</v>
      </c>
      <c r="AA18" s="407">
        <f t="shared" si="19"/>
        <v>105</v>
      </c>
    </row>
    <row r="19" spans="2:27" x14ac:dyDescent="0.3">
      <c r="B19" s="113"/>
      <c r="C19" s="460"/>
      <c r="D19" s="456" t="s">
        <v>463</v>
      </c>
      <c r="E19" s="450"/>
      <c r="F19" s="451"/>
      <c r="G19" s="437"/>
      <c r="H19" s="437"/>
      <c r="I19" s="437"/>
      <c r="J19" s="437"/>
      <c r="K19" s="437"/>
      <c r="L19" s="437"/>
      <c r="M19" s="437"/>
      <c r="N19" s="437">
        <f>+N18/N10</f>
        <v>0</v>
      </c>
      <c r="O19" s="437">
        <f t="shared" ref="O19:AA19" si="20">+O18/O10</f>
        <v>0</v>
      </c>
      <c r="P19" s="437">
        <f t="shared" si="20"/>
        <v>0</v>
      </c>
      <c r="Q19" s="437">
        <f t="shared" si="20"/>
        <v>2.9738185019091918E-3</v>
      </c>
      <c r="R19" s="414">
        <f t="shared" si="20"/>
        <v>2.2517045403370349E-3</v>
      </c>
      <c r="S19" s="414">
        <f t="shared" si="20"/>
        <v>2.2517045403370349E-3</v>
      </c>
      <c r="T19" s="414">
        <f t="shared" si="20"/>
        <v>4.5248088806915623E-2</v>
      </c>
      <c r="U19" s="414">
        <f t="shared" si="20"/>
        <v>4.5248088806915623E-2</v>
      </c>
      <c r="V19" s="414">
        <f t="shared" si="20"/>
        <v>2.8282523555301756E-2</v>
      </c>
      <c r="W19" s="414">
        <f t="shared" si="20"/>
        <v>2.8282523555301756E-2</v>
      </c>
      <c r="X19" s="414">
        <f t="shared" si="20"/>
        <v>2.8282523555301756E-2</v>
      </c>
      <c r="Y19" s="414">
        <f t="shared" si="20"/>
        <v>2.8282523555301756E-2</v>
      </c>
      <c r="Z19" s="414">
        <f t="shared" si="20"/>
        <v>1.2782213002797476E-2</v>
      </c>
      <c r="AA19" s="414">
        <f t="shared" si="20"/>
        <v>1.0124834386637532E-2</v>
      </c>
    </row>
    <row r="20" spans="2:27" x14ac:dyDescent="0.3">
      <c r="B20" s="113"/>
      <c r="C20" s="459"/>
      <c r="D20" s="456" t="s">
        <v>464</v>
      </c>
      <c r="E20" s="445"/>
      <c r="F20" s="449"/>
      <c r="G20" s="436">
        <f t="shared" ref="G20:L20" si="21">+H20-H31</f>
        <v>21</v>
      </c>
      <c r="H20" s="436">
        <f t="shared" si="21"/>
        <v>21</v>
      </c>
      <c r="I20" s="436">
        <f t="shared" si="21"/>
        <v>21</v>
      </c>
      <c r="J20" s="436">
        <f t="shared" si="21"/>
        <v>21</v>
      </c>
      <c r="K20" s="436">
        <f t="shared" si="21"/>
        <v>35.57</v>
      </c>
      <c r="L20" s="436">
        <f t="shared" si="21"/>
        <v>35.57</v>
      </c>
      <c r="M20" s="436">
        <f>+N20-N31</f>
        <v>35.57</v>
      </c>
      <c r="N20" s="407">
        <f>OM_EF_2017!D162</f>
        <v>40.57</v>
      </c>
      <c r="O20" s="407">
        <f>+N20+O31</f>
        <v>40.57</v>
      </c>
      <c r="P20" s="407">
        <f t="shared" ref="P20:AA20" si="22">+O20+P31</f>
        <v>40.57</v>
      </c>
      <c r="Q20" s="407">
        <f t="shared" si="22"/>
        <v>90.57</v>
      </c>
      <c r="R20" s="407">
        <f t="shared" si="22"/>
        <v>90.57</v>
      </c>
      <c r="S20" s="407">
        <f t="shared" si="22"/>
        <v>90.57</v>
      </c>
      <c r="T20" s="407">
        <f t="shared" si="22"/>
        <v>90.57</v>
      </c>
      <c r="U20" s="407">
        <f t="shared" si="22"/>
        <v>90.57</v>
      </c>
      <c r="V20" s="407">
        <f t="shared" si="22"/>
        <v>90.57</v>
      </c>
      <c r="W20" s="407">
        <f t="shared" si="22"/>
        <v>90.57</v>
      </c>
      <c r="X20" s="407">
        <f t="shared" si="22"/>
        <v>90.57</v>
      </c>
      <c r="Y20" s="407">
        <f t="shared" si="22"/>
        <v>90.57</v>
      </c>
      <c r="Z20" s="407">
        <f t="shared" si="22"/>
        <v>90.57</v>
      </c>
      <c r="AA20" s="407">
        <f t="shared" si="22"/>
        <v>90.57</v>
      </c>
    </row>
    <row r="21" spans="2:27" x14ac:dyDescent="0.3">
      <c r="B21" s="113"/>
      <c r="C21" s="460"/>
      <c r="D21" s="456" t="s">
        <v>465</v>
      </c>
      <c r="E21" s="450"/>
      <c r="F21" s="451"/>
      <c r="G21" s="414"/>
      <c r="H21" s="414"/>
      <c r="I21" s="414"/>
      <c r="J21" s="414"/>
      <c r="K21" s="414"/>
      <c r="L21" s="414"/>
      <c r="M21" s="414"/>
      <c r="N21" s="414">
        <f>+N20/N10</f>
        <v>5.9887222484648076E-2</v>
      </c>
      <c r="O21" s="414">
        <f t="shared" ref="O21:AA21" si="23">+O20/O10</f>
        <v>5.0875300963081849E-2</v>
      </c>
      <c r="P21" s="414">
        <f t="shared" si="23"/>
        <v>4.197880882413807E-2</v>
      </c>
      <c r="Q21" s="414">
        <f t="shared" si="23"/>
        <v>5.3867748343583093E-2</v>
      </c>
      <c r="R21" s="414">
        <f t="shared" si="23"/>
        <v>4.0787376043665044E-2</v>
      </c>
      <c r="S21" s="414">
        <f t="shared" si="23"/>
        <v>4.0787376043665044E-2</v>
      </c>
      <c r="T21" s="414">
        <f t="shared" si="23"/>
        <v>3.9029708602308075E-2</v>
      </c>
      <c r="U21" s="414">
        <f t="shared" si="23"/>
        <v>3.9029708602308075E-2</v>
      </c>
      <c r="V21" s="414">
        <f t="shared" si="23"/>
        <v>2.4395696746701716E-2</v>
      </c>
      <c r="W21" s="414">
        <f t="shared" si="23"/>
        <v>2.4395696746701716E-2</v>
      </c>
      <c r="X21" s="414">
        <f t="shared" si="23"/>
        <v>2.4395696746701716E-2</v>
      </c>
      <c r="Y21" s="414">
        <f t="shared" si="23"/>
        <v>2.4395696746701716E-2</v>
      </c>
      <c r="Z21" s="414">
        <f t="shared" si="23"/>
        <v>1.1025571730127309E-2</v>
      </c>
      <c r="AA21" s="414">
        <f t="shared" si="23"/>
        <v>8.7333928609310586E-3</v>
      </c>
    </row>
    <row r="23" spans="2:27" x14ac:dyDescent="0.3">
      <c r="B23" s="457"/>
      <c r="C23" s="458"/>
      <c r="D23" s="461" t="s">
        <v>466</v>
      </c>
      <c r="E23" s="439"/>
      <c r="F23" s="438"/>
      <c r="G23" s="381">
        <v>2010</v>
      </c>
      <c r="H23" s="381">
        <v>2011</v>
      </c>
      <c r="I23" s="381">
        <v>2012</v>
      </c>
      <c r="J23" s="381">
        <v>2013</v>
      </c>
      <c r="K23" s="381">
        <v>2014</v>
      </c>
      <c r="L23" s="381">
        <v>2015</v>
      </c>
      <c r="M23" s="381">
        <v>2016</v>
      </c>
      <c r="N23" s="381">
        <v>2017</v>
      </c>
      <c r="O23" s="381">
        <v>2018</v>
      </c>
      <c r="P23" s="381">
        <v>2019</v>
      </c>
      <c r="Q23" s="381">
        <v>2020</v>
      </c>
      <c r="R23" s="381">
        <v>2021</v>
      </c>
      <c r="S23" s="381">
        <v>2022</v>
      </c>
      <c r="T23" s="381">
        <v>2023</v>
      </c>
      <c r="U23" s="381">
        <v>2024</v>
      </c>
      <c r="V23" s="381">
        <v>2025</v>
      </c>
      <c r="W23" s="381">
        <v>2026</v>
      </c>
      <c r="X23" s="381">
        <v>2027</v>
      </c>
      <c r="Y23" s="381">
        <v>2028</v>
      </c>
      <c r="Z23" s="381">
        <v>2029</v>
      </c>
      <c r="AA23" s="381">
        <v>2030</v>
      </c>
    </row>
    <row r="24" spans="2:27" s="37" customFormat="1" x14ac:dyDescent="0.3">
      <c r="B24" s="34"/>
      <c r="C24" s="458"/>
      <c r="D24" s="462" t="s">
        <v>468</v>
      </c>
      <c r="E24" s="442"/>
      <c r="F24" s="441"/>
      <c r="G24" s="404">
        <f t="shared" ref="G24:M24" si="24">+G25+G26</f>
        <v>96</v>
      </c>
      <c r="H24" s="404">
        <f t="shared" si="24"/>
        <v>0</v>
      </c>
      <c r="I24" s="404">
        <f t="shared" si="24"/>
        <v>155.82000000000002</v>
      </c>
      <c r="J24" s="404">
        <f t="shared" si="24"/>
        <v>35.4</v>
      </c>
      <c r="K24" s="404">
        <f t="shared" si="24"/>
        <v>238.95</v>
      </c>
      <c r="L24" s="404">
        <f t="shared" si="24"/>
        <v>229.05999999999997</v>
      </c>
      <c r="M24" s="404">
        <f t="shared" si="24"/>
        <v>24</v>
      </c>
      <c r="N24" s="404">
        <f>+N25+N26</f>
        <v>125</v>
      </c>
      <c r="O24" s="404">
        <f t="shared" ref="O24:AA24" si="25">+O25+O26</f>
        <v>120</v>
      </c>
      <c r="P24" s="404">
        <f t="shared" si="25"/>
        <v>169</v>
      </c>
      <c r="Q24" s="404">
        <f t="shared" si="25"/>
        <v>714.9</v>
      </c>
      <c r="R24" s="404">
        <f t="shared" si="25"/>
        <v>539.20000000000005</v>
      </c>
      <c r="S24" s="404">
        <f t="shared" si="25"/>
        <v>0</v>
      </c>
      <c r="T24" s="404">
        <f t="shared" si="25"/>
        <v>100</v>
      </c>
      <c r="U24" s="404">
        <f t="shared" si="25"/>
        <v>0</v>
      </c>
      <c r="V24" s="404">
        <f t="shared" si="25"/>
        <v>1392</v>
      </c>
      <c r="W24" s="404">
        <f t="shared" si="25"/>
        <v>0</v>
      </c>
      <c r="X24" s="404">
        <f t="shared" si="25"/>
        <v>0</v>
      </c>
      <c r="Y24" s="404">
        <f t="shared" si="25"/>
        <v>0</v>
      </c>
      <c r="Z24" s="404">
        <f t="shared" si="25"/>
        <v>4502</v>
      </c>
      <c r="AA24" s="404">
        <f t="shared" si="25"/>
        <v>2156</v>
      </c>
    </row>
    <row r="25" spans="2:27" s="37" customFormat="1" x14ac:dyDescent="0.3">
      <c r="B25" s="13"/>
      <c r="C25" s="459"/>
      <c r="D25" s="463" t="s">
        <v>453</v>
      </c>
      <c r="E25" s="444"/>
      <c r="F25" s="449"/>
      <c r="G25" s="407">
        <f t="shared" ref="G25:N25" si="26">+SUMIF($C$191:$C$258,G23,$D$191:$D$258)</f>
        <v>96</v>
      </c>
      <c r="H25" s="407">
        <f t="shared" si="26"/>
        <v>0</v>
      </c>
      <c r="I25" s="407">
        <f t="shared" si="26"/>
        <v>155.82000000000002</v>
      </c>
      <c r="J25" s="407">
        <f t="shared" si="26"/>
        <v>32.4</v>
      </c>
      <c r="K25" s="407">
        <f t="shared" si="26"/>
        <v>224.38</v>
      </c>
      <c r="L25" s="407">
        <f t="shared" si="26"/>
        <v>221.45999999999998</v>
      </c>
      <c r="M25" s="407">
        <f t="shared" si="26"/>
        <v>0</v>
      </c>
      <c r="N25" s="407">
        <f t="shared" si="26"/>
        <v>0</v>
      </c>
      <c r="O25" s="407">
        <f t="shared" ref="O25:AA25" si="27">+SUMIF($C$55:$C$78,O23,$D$55:$D$78)</f>
        <v>0</v>
      </c>
      <c r="P25" s="407">
        <f t="shared" si="27"/>
        <v>0</v>
      </c>
      <c r="Q25" s="407">
        <f t="shared" si="27"/>
        <v>0</v>
      </c>
      <c r="R25" s="407">
        <f t="shared" si="27"/>
        <v>0</v>
      </c>
      <c r="S25" s="407">
        <f t="shared" si="27"/>
        <v>0</v>
      </c>
      <c r="T25" s="407">
        <f t="shared" si="27"/>
        <v>0</v>
      </c>
      <c r="U25" s="407">
        <f t="shared" si="27"/>
        <v>0</v>
      </c>
      <c r="V25" s="407">
        <f t="shared" si="27"/>
        <v>0</v>
      </c>
      <c r="W25" s="407">
        <f t="shared" si="27"/>
        <v>0</v>
      </c>
      <c r="X25" s="407">
        <f t="shared" si="27"/>
        <v>0</v>
      </c>
      <c r="Y25" s="407">
        <f t="shared" si="27"/>
        <v>0</v>
      </c>
      <c r="Z25" s="407">
        <f t="shared" si="27"/>
        <v>0</v>
      </c>
      <c r="AA25" s="407">
        <f t="shared" si="27"/>
        <v>0</v>
      </c>
    </row>
    <row r="26" spans="2:27" s="37" customFormat="1" x14ac:dyDescent="0.3">
      <c r="B26" s="13"/>
      <c r="C26" s="459"/>
      <c r="D26" s="463" t="s">
        <v>467</v>
      </c>
      <c r="E26" s="444"/>
      <c r="F26" s="449"/>
      <c r="G26" s="407">
        <f t="shared" ref="G26:M26" si="28">+G27+G28+G29+G30+G31</f>
        <v>0</v>
      </c>
      <c r="H26" s="407">
        <f t="shared" si="28"/>
        <v>0</v>
      </c>
      <c r="I26" s="407">
        <f t="shared" si="28"/>
        <v>0</v>
      </c>
      <c r="J26" s="407">
        <f t="shared" si="28"/>
        <v>3</v>
      </c>
      <c r="K26" s="407">
        <f t="shared" si="28"/>
        <v>14.57</v>
      </c>
      <c r="L26" s="407">
        <f t="shared" si="28"/>
        <v>7.6</v>
      </c>
      <c r="M26" s="407">
        <f t="shared" si="28"/>
        <v>24</v>
      </c>
      <c r="N26" s="407">
        <f>+N27+N28+N29+N30+N31</f>
        <v>125</v>
      </c>
      <c r="O26" s="407">
        <f t="shared" ref="O26:AA26" si="29">+O27+O28+O29+O30+O31</f>
        <v>120</v>
      </c>
      <c r="P26" s="407">
        <f t="shared" si="29"/>
        <v>169</v>
      </c>
      <c r="Q26" s="407">
        <f t="shared" si="29"/>
        <v>714.9</v>
      </c>
      <c r="R26" s="407">
        <f t="shared" si="29"/>
        <v>539.20000000000005</v>
      </c>
      <c r="S26" s="407">
        <f t="shared" si="29"/>
        <v>0</v>
      </c>
      <c r="T26" s="407">
        <f t="shared" si="29"/>
        <v>100</v>
      </c>
      <c r="U26" s="407">
        <f t="shared" si="29"/>
        <v>0</v>
      </c>
      <c r="V26" s="407">
        <f t="shared" si="29"/>
        <v>1392</v>
      </c>
      <c r="W26" s="407">
        <f t="shared" si="29"/>
        <v>0</v>
      </c>
      <c r="X26" s="407">
        <f t="shared" si="29"/>
        <v>0</v>
      </c>
      <c r="Y26" s="407">
        <f t="shared" si="29"/>
        <v>0</v>
      </c>
      <c r="Z26" s="407">
        <f t="shared" si="29"/>
        <v>4502</v>
      </c>
      <c r="AA26" s="407">
        <f t="shared" si="29"/>
        <v>2156</v>
      </c>
    </row>
    <row r="27" spans="2:27" x14ac:dyDescent="0.3">
      <c r="B27" s="113"/>
      <c r="C27" s="459"/>
      <c r="D27" s="470" t="s">
        <v>456</v>
      </c>
      <c r="E27" s="445"/>
      <c r="F27" s="449"/>
      <c r="G27" s="407">
        <f t="shared" ref="G27:N27" si="30">SUMIF($C$263:$C$331,G23,$D$263:$D$331)</f>
        <v>0</v>
      </c>
      <c r="H27" s="407">
        <f t="shared" si="30"/>
        <v>0</v>
      </c>
      <c r="I27" s="407">
        <f t="shared" si="30"/>
        <v>0</v>
      </c>
      <c r="J27" s="407">
        <f t="shared" si="30"/>
        <v>0</v>
      </c>
      <c r="K27" s="407">
        <f t="shared" si="30"/>
        <v>0</v>
      </c>
      <c r="L27" s="407">
        <f t="shared" si="30"/>
        <v>7.6</v>
      </c>
      <c r="M27" s="407">
        <f t="shared" si="30"/>
        <v>0</v>
      </c>
      <c r="N27" s="384">
        <f t="shared" si="30"/>
        <v>120</v>
      </c>
      <c r="O27" s="407">
        <f t="shared" ref="O27:AA27" si="31">+SUMIF($C$83:$C$127,O23,$D$83:$D$127)</f>
        <v>55</v>
      </c>
      <c r="P27" s="407">
        <f t="shared" si="31"/>
        <v>69</v>
      </c>
      <c r="Q27" s="407">
        <f t="shared" si="31"/>
        <v>546.9</v>
      </c>
      <c r="R27" s="407">
        <f t="shared" si="31"/>
        <v>494.2</v>
      </c>
      <c r="S27" s="407">
        <f t="shared" si="31"/>
        <v>0</v>
      </c>
      <c r="T27" s="407">
        <f t="shared" si="31"/>
        <v>0</v>
      </c>
      <c r="U27" s="407">
        <f t="shared" si="31"/>
        <v>0</v>
      </c>
      <c r="V27" s="407">
        <f t="shared" si="31"/>
        <v>1392</v>
      </c>
      <c r="W27" s="407">
        <f t="shared" si="31"/>
        <v>0</v>
      </c>
      <c r="X27" s="407">
        <f t="shared" si="31"/>
        <v>0</v>
      </c>
      <c r="Y27" s="407">
        <f t="shared" si="31"/>
        <v>0</v>
      </c>
      <c r="Z27" s="407">
        <f t="shared" si="31"/>
        <v>4502</v>
      </c>
      <c r="AA27" s="407">
        <f t="shared" si="31"/>
        <v>1680</v>
      </c>
    </row>
    <row r="28" spans="2:27" x14ac:dyDescent="0.3">
      <c r="B28" s="113"/>
      <c r="C28" s="459"/>
      <c r="D28" s="470" t="s">
        <v>458</v>
      </c>
      <c r="E28" s="445"/>
      <c r="F28" s="449"/>
      <c r="G28" s="407">
        <f t="shared" ref="G28:N28" si="32">+SUMIF($C$345:$C$347,G23,$D$345:$D$347)</f>
        <v>0</v>
      </c>
      <c r="H28" s="407">
        <f t="shared" si="32"/>
        <v>0</v>
      </c>
      <c r="I28" s="407">
        <f t="shared" si="32"/>
        <v>0</v>
      </c>
      <c r="J28" s="407">
        <f t="shared" si="32"/>
        <v>3</v>
      </c>
      <c r="K28" s="407">
        <f t="shared" si="32"/>
        <v>0</v>
      </c>
      <c r="L28" s="407">
        <f t="shared" si="32"/>
        <v>0</v>
      </c>
      <c r="M28" s="407">
        <f t="shared" si="32"/>
        <v>24</v>
      </c>
      <c r="N28" s="407">
        <f t="shared" si="32"/>
        <v>0</v>
      </c>
      <c r="O28" s="407">
        <f t="shared" ref="O28:AA28" si="33">+SUMIF($C$133:$C$147,O23,$D$133:$D$147)</f>
        <v>0</v>
      </c>
      <c r="P28" s="407">
        <f t="shared" si="33"/>
        <v>0</v>
      </c>
      <c r="Q28" s="407">
        <f t="shared" si="33"/>
        <v>108</v>
      </c>
      <c r="R28" s="407">
        <f t="shared" si="33"/>
        <v>45</v>
      </c>
      <c r="S28" s="407">
        <f t="shared" si="33"/>
        <v>0</v>
      </c>
      <c r="T28" s="407">
        <f t="shared" si="33"/>
        <v>0</v>
      </c>
      <c r="U28" s="407">
        <f t="shared" si="33"/>
        <v>0</v>
      </c>
      <c r="V28" s="407">
        <f t="shared" si="33"/>
        <v>0</v>
      </c>
      <c r="W28" s="407">
        <f t="shared" si="33"/>
        <v>0</v>
      </c>
      <c r="X28" s="407">
        <f t="shared" si="33"/>
        <v>0</v>
      </c>
      <c r="Y28" s="407">
        <f t="shared" si="33"/>
        <v>0</v>
      </c>
      <c r="Z28" s="407">
        <f t="shared" si="33"/>
        <v>0</v>
      </c>
      <c r="AA28" s="407">
        <f t="shared" si="33"/>
        <v>276</v>
      </c>
    </row>
    <row r="29" spans="2:27" x14ac:dyDescent="0.3">
      <c r="B29" s="113"/>
      <c r="C29" s="459"/>
      <c r="D29" s="470" t="s">
        <v>460</v>
      </c>
      <c r="E29" s="445"/>
      <c r="F29" s="449"/>
      <c r="G29" s="407">
        <v>0</v>
      </c>
      <c r="H29" s="407">
        <v>0</v>
      </c>
      <c r="I29" s="407">
        <v>0</v>
      </c>
      <c r="J29" s="407">
        <v>0</v>
      </c>
      <c r="K29" s="407">
        <v>0</v>
      </c>
      <c r="L29" s="407">
        <v>0</v>
      </c>
      <c r="M29" s="407">
        <v>0</v>
      </c>
      <c r="N29" s="407">
        <v>0</v>
      </c>
      <c r="O29" s="407">
        <f t="shared" ref="O29:AA29" si="34">+SUMIF($C$152:$C$165,O23,$D$152:$D$165)</f>
        <v>65</v>
      </c>
      <c r="P29" s="407">
        <f t="shared" si="34"/>
        <v>100</v>
      </c>
      <c r="Q29" s="407">
        <f t="shared" si="34"/>
        <v>5</v>
      </c>
      <c r="R29" s="407">
        <f t="shared" si="34"/>
        <v>0</v>
      </c>
      <c r="S29" s="407">
        <f t="shared" si="34"/>
        <v>0</v>
      </c>
      <c r="T29" s="407">
        <f t="shared" si="34"/>
        <v>0</v>
      </c>
      <c r="U29" s="407">
        <f t="shared" si="34"/>
        <v>0</v>
      </c>
      <c r="V29" s="407">
        <f t="shared" si="34"/>
        <v>0</v>
      </c>
      <c r="W29" s="407">
        <f t="shared" si="34"/>
        <v>0</v>
      </c>
      <c r="X29" s="407">
        <f t="shared" si="34"/>
        <v>0</v>
      </c>
      <c r="Y29" s="407">
        <f t="shared" si="34"/>
        <v>0</v>
      </c>
      <c r="Z29" s="407">
        <f t="shared" si="34"/>
        <v>0</v>
      </c>
      <c r="AA29" s="407">
        <f t="shared" si="34"/>
        <v>200</v>
      </c>
    </row>
    <row r="30" spans="2:27" x14ac:dyDescent="0.3">
      <c r="B30" s="113"/>
      <c r="C30" s="459"/>
      <c r="D30" s="463" t="s">
        <v>462</v>
      </c>
      <c r="E30" s="444"/>
      <c r="F30" s="449"/>
      <c r="G30" s="407">
        <v>0</v>
      </c>
      <c r="H30" s="407">
        <v>0</v>
      </c>
      <c r="I30" s="407">
        <v>0</v>
      </c>
      <c r="J30" s="407">
        <v>0</v>
      </c>
      <c r="K30" s="407">
        <v>0</v>
      </c>
      <c r="L30" s="407">
        <v>0</v>
      </c>
      <c r="M30" s="407">
        <v>0</v>
      </c>
      <c r="N30" s="407">
        <f t="shared" ref="N30:AA30" si="35">+SUMIF($C$170:$C$173,N23,$D$170:$D$184)</f>
        <v>0</v>
      </c>
      <c r="O30" s="407">
        <f t="shared" si="35"/>
        <v>0</v>
      </c>
      <c r="P30" s="407">
        <f t="shared" si="35"/>
        <v>0</v>
      </c>
      <c r="Q30" s="407">
        <f t="shared" si="35"/>
        <v>5</v>
      </c>
      <c r="R30" s="407">
        <f t="shared" si="35"/>
        <v>0</v>
      </c>
      <c r="S30" s="407">
        <f t="shared" si="35"/>
        <v>0</v>
      </c>
      <c r="T30" s="407">
        <f t="shared" si="35"/>
        <v>100</v>
      </c>
      <c r="U30" s="407">
        <f t="shared" si="35"/>
        <v>0</v>
      </c>
      <c r="V30" s="407">
        <f t="shared" si="35"/>
        <v>0</v>
      </c>
      <c r="W30" s="407">
        <f t="shared" si="35"/>
        <v>0</v>
      </c>
      <c r="X30" s="407">
        <f t="shared" si="35"/>
        <v>0</v>
      </c>
      <c r="Y30" s="407">
        <f t="shared" si="35"/>
        <v>0</v>
      </c>
      <c r="Z30" s="407">
        <f t="shared" si="35"/>
        <v>0</v>
      </c>
      <c r="AA30" s="407">
        <f t="shared" si="35"/>
        <v>0</v>
      </c>
    </row>
    <row r="31" spans="2:27" x14ac:dyDescent="0.3">
      <c r="B31" s="113"/>
      <c r="C31" s="459"/>
      <c r="D31" s="463" t="s">
        <v>464</v>
      </c>
      <c r="E31" s="444"/>
      <c r="F31" s="449"/>
      <c r="G31" s="407">
        <f t="shared" ref="G31:N31" si="36">+SUMIF($C$336:$C$340,G23,$D$336:$D$340)</f>
        <v>0</v>
      </c>
      <c r="H31" s="407">
        <f t="shared" si="36"/>
        <v>0</v>
      </c>
      <c r="I31" s="407">
        <f t="shared" si="36"/>
        <v>0</v>
      </c>
      <c r="J31" s="407">
        <f t="shared" si="36"/>
        <v>0</v>
      </c>
      <c r="K31" s="407">
        <f t="shared" si="36"/>
        <v>14.57</v>
      </c>
      <c r="L31" s="407">
        <f t="shared" si="36"/>
        <v>0</v>
      </c>
      <c r="M31" s="407">
        <f t="shared" si="36"/>
        <v>0</v>
      </c>
      <c r="N31" s="407">
        <f t="shared" si="36"/>
        <v>5</v>
      </c>
      <c r="O31" s="407">
        <f t="shared" ref="O31:AA31" si="37">+SUMIF($C$178:$C$183,O23,$D$178:$D$183)</f>
        <v>0</v>
      </c>
      <c r="P31" s="407">
        <f t="shared" si="37"/>
        <v>0</v>
      </c>
      <c r="Q31" s="407">
        <f t="shared" si="37"/>
        <v>50</v>
      </c>
      <c r="R31" s="407">
        <f t="shared" si="37"/>
        <v>0</v>
      </c>
      <c r="S31" s="407">
        <f t="shared" si="37"/>
        <v>0</v>
      </c>
      <c r="T31" s="407">
        <f t="shared" si="37"/>
        <v>0</v>
      </c>
      <c r="U31" s="407">
        <f t="shared" si="37"/>
        <v>0</v>
      </c>
      <c r="V31" s="407">
        <f t="shared" si="37"/>
        <v>0</v>
      </c>
      <c r="W31" s="407">
        <f t="shared" si="37"/>
        <v>0</v>
      </c>
      <c r="X31" s="407">
        <f t="shared" si="37"/>
        <v>0</v>
      </c>
      <c r="Y31" s="407">
        <f t="shared" si="37"/>
        <v>0</v>
      </c>
      <c r="Z31" s="407">
        <f t="shared" si="37"/>
        <v>0</v>
      </c>
      <c r="AA31" s="407">
        <f t="shared" si="37"/>
        <v>0</v>
      </c>
    </row>
    <row r="32" spans="2:27" x14ac:dyDescent="0.3">
      <c r="B32" s="9"/>
      <c r="C32" s="9"/>
    </row>
    <row r="33" spans="2:27" x14ac:dyDescent="0.3">
      <c r="B33" s="457"/>
      <c r="C33" s="458"/>
      <c r="D33" s="461" t="s">
        <v>446</v>
      </c>
      <c r="E33" s="439"/>
      <c r="F33" s="438"/>
      <c r="G33" s="381">
        <v>2010</v>
      </c>
      <c r="H33" s="381">
        <v>2011</v>
      </c>
      <c r="I33" s="381">
        <v>2012</v>
      </c>
      <c r="J33" s="381">
        <v>2013</v>
      </c>
      <c r="K33" s="381">
        <v>2014</v>
      </c>
      <c r="L33" s="381">
        <v>2015</v>
      </c>
      <c r="M33" s="381">
        <v>2016</v>
      </c>
      <c r="N33" s="381">
        <v>2017</v>
      </c>
      <c r="O33" s="381">
        <v>2018</v>
      </c>
      <c r="P33" s="381">
        <v>2019</v>
      </c>
      <c r="Q33" s="381">
        <v>2020</v>
      </c>
      <c r="R33" s="381">
        <v>2021</v>
      </c>
      <c r="S33" s="381">
        <v>2022</v>
      </c>
      <c r="T33" s="381">
        <v>2023</v>
      </c>
      <c r="U33" s="381">
        <v>2024</v>
      </c>
      <c r="V33" s="381">
        <v>2025</v>
      </c>
      <c r="W33" s="381">
        <v>2026</v>
      </c>
      <c r="X33" s="381">
        <v>2027</v>
      </c>
      <c r="Y33" s="381">
        <v>2028</v>
      </c>
      <c r="Z33" s="381">
        <v>2029</v>
      </c>
      <c r="AA33" s="381">
        <v>2030</v>
      </c>
    </row>
    <row r="34" spans="2:27" x14ac:dyDescent="0.3">
      <c r="B34" s="465"/>
      <c r="C34" s="459"/>
      <c r="D34" s="464" t="s">
        <v>405</v>
      </c>
      <c r="E34" s="444"/>
      <c r="F34" s="449"/>
      <c r="G34" s="407">
        <v>5814019.0352499997</v>
      </c>
      <c r="H34" s="407">
        <v>6301852.2619999992</v>
      </c>
      <c r="I34" s="407">
        <v>6604327.1639999999</v>
      </c>
      <c r="J34" s="407">
        <v>7012819.3770000003</v>
      </c>
      <c r="K34" s="407">
        <v>7477658.0630000019</v>
      </c>
      <c r="L34" s="407">
        <v>7945921.6869999999</v>
      </c>
      <c r="M34" s="407">
        <v>8377847.3140000002</v>
      </c>
      <c r="N34" s="407">
        <v>8613743.881000001</v>
      </c>
      <c r="O34" s="407">
        <v>9096484.1005555242</v>
      </c>
      <c r="P34" s="407">
        <v>9861641.2775088195</v>
      </c>
      <c r="Q34" s="407">
        <v>10650466.03389922</v>
      </c>
      <c r="R34" s="407">
        <v>11767871.007999998</v>
      </c>
      <c r="S34" s="407">
        <v>12509304.038000001</v>
      </c>
      <c r="T34" s="407">
        <v>13292004.038000001</v>
      </c>
      <c r="U34" s="407">
        <v>14119084.037999999</v>
      </c>
      <c r="V34" s="407">
        <v>14992914.037999995</v>
      </c>
      <c r="W34" s="407">
        <v>15915934.037999999</v>
      </c>
      <c r="X34" s="407">
        <v>16890764.037999999</v>
      </c>
      <c r="Y34" s="407">
        <v>17920144.037999999</v>
      </c>
      <c r="Z34" s="407">
        <v>19006944.038000003</v>
      </c>
      <c r="AA34" s="407">
        <v>20154224.037999999</v>
      </c>
    </row>
    <row r="35" spans="2:27" x14ac:dyDescent="0.3">
      <c r="B35" s="465"/>
      <c r="C35" s="459"/>
      <c r="D35" s="464" t="s">
        <v>404</v>
      </c>
      <c r="E35" s="444"/>
      <c r="F35" s="449"/>
      <c r="G35" s="81"/>
      <c r="H35" s="81"/>
      <c r="I35" s="81"/>
      <c r="J35" s="81"/>
      <c r="K35" s="81"/>
      <c r="L35" s="81"/>
      <c r="M35" s="81"/>
      <c r="N35" s="81"/>
      <c r="O35" s="472">
        <v>0.04</v>
      </c>
      <c r="P35" s="472">
        <v>0.04</v>
      </c>
      <c r="Q35" s="472">
        <v>0.04</v>
      </c>
      <c r="R35" s="472">
        <v>0.04</v>
      </c>
      <c r="S35" s="472">
        <v>0.04</v>
      </c>
      <c r="T35" s="472">
        <v>0.04</v>
      </c>
      <c r="U35" s="472">
        <v>0.04</v>
      </c>
      <c r="V35" s="472">
        <v>0.04</v>
      </c>
      <c r="W35" s="472">
        <v>0.04</v>
      </c>
      <c r="X35" s="472">
        <v>0.04</v>
      </c>
      <c r="Y35" s="472">
        <v>0.04</v>
      </c>
      <c r="Z35" s="472">
        <v>0.04</v>
      </c>
      <c r="AA35" s="472">
        <v>0.04</v>
      </c>
    </row>
    <row r="36" spans="2:27" x14ac:dyDescent="0.3">
      <c r="B36" s="466"/>
      <c r="C36" s="458"/>
      <c r="D36" s="462" t="s">
        <v>406</v>
      </c>
      <c r="E36" s="442"/>
      <c r="F36" s="441"/>
      <c r="G36" s="404">
        <f>+G38</f>
        <v>6085440.8650679979</v>
      </c>
      <c r="H36" s="404">
        <f t="shared" ref="H36:N36" si="38">+H38</f>
        <v>6592941.5332299992</v>
      </c>
      <c r="I36" s="404">
        <f t="shared" si="38"/>
        <v>6861925.9259466501</v>
      </c>
      <c r="J36" s="404">
        <f t="shared" si="38"/>
        <v>7286833.0360245043</v>
      </c>
      <c r="K36" s="404">
        <f t="shared" si="38"/>
        <v>7743488.7027113652</v>
      </c>
      <c r="L36" s="404">
        <f t="shared" si="38"/>
        <v>8248316.8230674472</v>
      </c>
      <c r="M36" s="404">
        <f t="shared" si="38"/>
        <v>8669522.2586782202</v>
      </c>
      <c r="N36" s="404">
        <f t="shared" si="38"/>
        <v>8890377.2369821966</v>
      </c>
      <c r="O36" s="404">
        <f>+O34/(1-O35)</f>
        <v>9475504.2714120056</v>
      </c>
      <c r="P36" s="404">
        <f t="shared" ref="P36:AA36" si="39">+P34/(1-P35)</f>
        <v>10272542.997405021</v>
      </c>
      <c r="Q36" s="404">
        <f t="shared" si="39"/>
        <v>11094235.451978354</v>
      </c>
      <c r="R36" s="404">
        <f t="shared" si="39"/>
        <v>12258198.966666665</v>
      </c>
      <c r="S36" s="404">
        <f t="shared" si="39"/>
        <v>13030525.039583335</v>
      </c>
      <c r="T36" s="404">
        <f t="shared" si="39"/>
        <v>13845837.539583335</v>
      </c>
      <c r="U36" s="404">
        <f t="shared" si="39"/>
        <v>14707379.206249999</v>
      </c>
      <c r="V36" s="404">
        <f t="shared" si="39"/>
        <v>15617618.789583329</v>
      </c>
      <c r="W36" s="404">
        <f t="shared" si="39"/>
        <v>16579097.956249999</v>
      </c>
      <c r="X36" s="404">
        <f t="shared" si="39"/>
        <v>17594545.872916665</v>
      </c>
      <c r="Y36" s="404">
        <f t="shared" si="39"/>
        <v>18666816.706250001</v>
      </c>
      <c r="Z36" s="404">
        <f t="shared" si="39"/>
        <v>19798900.039583337</v>
      </c>
      <c r="AA36" s="404">
        <f t="shared" si="39"/>
        <v>20993983.372916665</v>
      </c>
    </row>
    <row r="37" spans="2:27" x14ac:dyDescent="0.3">
      <c r="B37" s="405"/>
      <c r="C37" s="405"/>
      <c r="D37" s="405"/>
      <c r="E37" s="405"/>
      <c r="F37" s="405"/>
      <c r="G37" s="405"/>
      <c r="H37" s="405"/>
      <c r="I37" s="405"/>
      <c r="J37" s="405"/>
      <c r="K37" s="405"/>
      <c r="L37" s="405"/>
      <c r="M37" s="405"/>
      <c r="N37" s="405"/>
      <c r="O37" s="406"/>
      <c r="P37" s="406"/>
      <c r="Q37" s="406"/>
      <c r="R37" s="406"/>
      <c r="S37" s="406"/>
      <c r="T37" s="406"/>
      <c r="U37" s="406"/>
      <c r="V37" s="406"/>
      <c r="W37" s="406"/>
      <c r="X37" s="406"/>
      <c r="Y37" s="406"/>
      <c r="Z37" s="406"/>
      <c r="AA37" s="406"/>
    </row>
    <row r="38" spans="2:27" x14ac:dyDescent="0.3">
      <c r="B38" s="457"/>
      <c r="C38" s="458"/>
      <c r="D38" s="461" t="s">
        <v>196</v>
      </c>
      <c r="E38" s="439"/>
      <c r="F38" s="438"/>
      <c r="G38" s="382">
        <f t="shared" ref="G38:N38" si="40">+G190+G262+G335+G344</f>
        <v>6085440.8650679979</v>
      </c>
      <c r="H38" s="382">
        <f t="shared" si="40"/>
        <v>6592941.5332299992</v>
      </c>
      <c r="I38" s="382">
        <f t="shared" si="40"/>
        <v>6861925.9259466501</v>
      </c>
      <c r="J38" s="382">
        <f t="shared" si="40"/>
        <v>7286833.0360245043</v>
      </c>
      <c r="K38" s="382">
        <f t="shared" si="40"/>
        <v>7743488.7027113652</v>
      </c>
      <c r="L38" s="382">
        <f t="shared" si="40"/>
        <v>8248316.8230674472</v>
      </c>
      <c r="M38" s="382">
        <f t="shared" si="40"/>
        <v>8669522.2586782202</v>
      </c>
      <c r="N38" s="382">
        <f t="shared" si="40"/>
        <v>8890377.2369821966</v>
      </c>
      <c r="O38" s="382">
        <f>+O190+O262+O335+O344+O54+O82+O132+O151+O169+O177</f>
        <v>9549855.4570679404</v>
      </c>
      <c r="P38" s="382">
        <f t="shared" ref="P38:AA38" si="41">+P190+P262+P335+P344+P54+P82+P132+P151+P169+P177</f>
        <v>10217479.791623497</v>
      </c>
      <c r="Q38" s="382">
        <f t="shared" si="41"/>
        <v>12491293.393663254</v>
      </c>
      <c r="R38" s="382">
        <f t="shared" si="41"/>
        <v>14744424.482910259</v>
      </c>
      <c r="S38" s="382">
        <f t="shared" si="41"/>
        <v>14776852.148918491</v>
      </c>
      <c r="T38" s="382">
        <f t="shared" si="41"/>
        <v>15509538.304188725</v>
      </c>
      <c r="U38" s="382">
        <f t="shared" si="41"/>
        <v>15506671.645339157</v>
      </c>
      <c r="V38" s="382">
        <f t="shared" si="41"/>
        <v>19215526.627007123</v>
      </c>
      <c r="W38" s="382">
        <f t="shared" si="41"/>
        <v>19212560.588306114</v>
      </c>
      <c r="X38" s="382">
        <f t="shared" si="41"/>
        <v>19212577.151614688</v>
      </c>
      <c r="Y38" s="382">
        <f t="shared" si="41"/>
        <v>19213554.788975973</v>
      </c>
      <c r="Z38" s="382">
        <f t="shared" si="41"/>
        <v>37975048.194992095</v>
      </c>
      <c r="AA38" s="382">
        <f t="shared" si="41"/>
        <v>46600144.194992095</v>
      </c>
    </row>
    <row r="39" spans="2:27" x14ac:dyDescent="0.3">
      <c r="B39" s="13"/>
      <c r="C39" s="467"/>
      <c r="D39" s="463" t="s">
        <v>400</v>
      </c>
      <c r="E39" s="446"/>
      <c r="F39" s="468"/>
      <c r="G39" s="200">
        <f t="shared" ref="G39:N39" si="42">+G262+G335+G344</f>
        <v>2209585.150035846</v>
      </c>
      <c r="H39" s="200">
        <f t="shared" si="42"/>
        <v>2388145.9836729998</v>
      </c>
      <c r="I39" s="200">
        <f t="shared" si="42"/>
        <v>2386578.6652733334</v>
      </c>
      <c r="J39" s="200">
        <f t="shared" si="42"/>
        <v>2594391.147199627</v>
      </c>
      <c r="K39" s="200">
        <f t="shared" si="42"/>
        <v>2317460.2385350005</v>
      </c>
      <c r="L39" s="200">
        <f t="shared" si="42"/>
        <v>2530134.7848262745</v>
      </c>
      <c r="M39" s="200">
        <f t="shared" si="42"/>
        <v>1811708.9550000003</v>
      </c>
      <c r="N39" s="200">
        <f t="shared" si="42"/>
        <v>2334294.7473999988</v>
      </c>
      <c r="O39" s="200">
        <f t="shared" ref="O39:AA39" si="43">+O82+O132+O151+O169+O262+O335+O344</f>
        <v>3176644.4586587572</v>
      </c>
      <c r="P39" s="200">
        <f t="shared" si="43"/>
        <v>3678816.5949920905</v>
      </c>
      <c r="Q39" s="200">
        <f t="shared" si="43"/>
        <v>6453108.5949920909</v>
      </c>
      <c r="R39" s="200">
        <f t="shared" si="43"/>
        <v>8755674.59499209</v>
      </c>
      <c r="S39" s="200">
        <f t="shared" si="43"/>
        <v>8755674.59499209</v>
      </c>
      <c r="T39" s="200">
        <f t="shared" si="43"/>
        <v>9500274.59499209</v>
      </c>
      <c r="U39" s="200">
        <f t="shared" si="43"/>
        <v>9500274.59499209</v>
      </c>
      <c r="V39" s="200">
        <f t="shared" si="43"/>
        <v>15597234.59499209</v>
      </c>
      <c r="W39" s="200">
        <f t="shared" si="43"/>
        <v>15597234.59499209</v>
      </c>
      <c r="X39" s="200">
        <f t="shared" si="43"/>
        <v>15597234.59499209</v>
      </c>
      <c r="Y39" s="200">
        <f t="shared" si="43"/>
        <v>15597234.59499209</v>
      </c>
      <c r="Z39" s="200">
        <f t="shared" si="43"/>
        <v>37602748.194992095</v>
      </c>
      <c r="AA39" s="200">
        <f t="shared" si="43"/>
        <v>46227844.194992095</v>
      </c>
    </row>
    <row r="40" spans="2:27" x14ac:dyDescent="0.3">
      <c r="B40" s="13"/>
      <c r="C40" s="467"/>
      <c r="D40" s="463" t="s">
        <v>401</v>
      </c>
      <c r="E40" s="446"/>
      <c r="F40" s="468"/>
      <c r="G40" s="380">
        <f>+G39/G38</f>
        <v>0.36309368524463614</v>
      </c>
      <c r="H40" s="380">
        <f t="shared" ref="H40:AA40" si="44">+H39/H38</f>
        <v>0.36222769027090168</v>
      </c>
      <c r="I40" s="380">
        <f t="shared" si="44"/>
        <v>0.34780012069921734</v>
      </c>
      <c r="J40" s="380">
        <f t="shared" si="44"/>
        <v>0.35603823147498043</v>
      </c>
      <c r="K40" s="380">
        <f t="shared" si="44"/>
        <v>0.29927857164995242</v>
      </c>
      <c r="L40" s="380">
        <f t="shared" si="44"/>
        <v>0.30674558689967352</v>
      </c>
      <c r="M40" s="380">
        <f t="shared" si="44"/>
        <v>0.20897448566862767</v>
      </c>
      <c r="N40" s="380">
        <f t="shared" si="44"/>
        <v>0.26256419555401972</v>
      </c>
      <c r="O40" s="380">
        <f t="shared" si="44"/>
        <v>0.33263796221205544</v>
      </c>
      <c r="P40" s="380">
        <f t="shared" si="44"/>
        <v>0.36005127193968722</v>
      </c>
      <c r="Q40" s="380">
        <f t="shared" si="44"/>
        <v>0.51660852016058711</v>
      </c>
      <c r="R40" s="380">
        <f t="shared" si="44"/>
        <v>0.59382952553627866</v>
      </c>
      <c r="S40" s="380">
        <f t="shared" si="44"/>
        <v>0.59252637210915804</v>
      </c>
      <c r="T40" s="380">
        <f t="shared" si="44"/>
        <v>0.61254399767827461</v>
      </c>
      <c r="U40" s="380">
        <f t="shared" si="44"/>
        <v>0.61265723633527691</v>
      </c>
      <c r="V40" s="380">
        <f t="shared" si="44"/>
        <v>0.81169956451104597</v>
      </c>
      <c r="W40" s="380">
        <f t="shared" si="44"/>
        <v>0.81182487484179888</v>
      </c>
      <c r="X40" s="380">
        <f t="shared" si="44"/>
        <v>0.81182417496141313</v>
      </c>
      <c r="Y40" s="380">
        <f t="shared" si="44"/>
        <v>0.81178286716319703</v>
      </c>
      <c r="Z40" s="380">
        <f t="shared" si="44"/>
        <v>0.99019619414073323</v>
      </c>
      <c r="AA40" s="380">
        <f t="shared" si="44"/>
        <v>0.99201075433496166</v>
      </c>
    </row>
    <row r="41" spans="2:27" x14ac:dyDescent="0.3">
      <c r="B41" s="13"/>
      <c r="C41" s="467"/>
      <c r="D41" s="463" t="s">
        <v>403</v>
      </c>
      <c r="E41" s="446"/>
      <c r="F41" s="468"/>
      <c r="G41" s="383">
        <f t="shared" ref="G41:N41" si="45">+G54+G190</f>
        <v>3875855.7150321514</v>
      </c>
      <c r="H41" s="383">
        <f t="shared" si="45"/>
        <v>4204795.5495570004</v>
      </c>
      <c r="I41" s="383">
        <f t="shared" si="45"/>
        <v>4475347.2606733171</v>
      </c>
      <c r="J41" s="383">
        <f t="shared" si="45"/>
        <v>4692441.8888248773</v>
      </c>
      <c r="K41" s="383">
        <f t="shared" si="45"/>
        <v>5426028.4641763652</v>
      </c>
      <c r="L41" s="383">
        <f t="shared" si="45"/>
        <v>5718182.0382411722</v>
      </c>
      <c r="M41" s="383">
        <f t="shared" si="45"/>
        <v>6857813.3036782192</v>
      </c>
      <c r="N41" s="383">
        <f t="shared" si="45"/>
        <v>6556082.4895821987</v>
      </c>
      <c r="O41" s="383">
        <f t="shared" ref="O41:AA41" si="46">+O54+O190</f>
        <v>6373210.9984091837</v>
      </c>
      <c r="P41" s="383">
        <f t="shared" si="46"/>
        <v>6538663.1966314064</v>
      </c>
      <c r="Q41" s="383">
        <f t="shared" si="46"/>
        <v>5665884.7986711618</v>
      </c>
      <c r="R41" s="383">
        <f t="shared" si="46"/>
        <v>5616449.8879181677</v>
      </c>
      <c r="S41" s="383">
        <f t="shared" si="46"/>
        <v>5648877.553926399</v>
      </c>
      <c r="T41" s="383">
        <f t="shared" si="46"/>
        <v>5636963.7091966337</v>
      </c>
      <c r="U41" s="383">
        <f t="shared" si="46"/>
        <v>5634097.0503470665</v>
      </c>
      <c r="V41" s="383">
        <f t="shared" si="46"/>
        <v>3245992.0320150317</v>
      </c>
      <c r="W41" s="383">
        <f t="shared" si="46"/>
        <v>3243025.9933140208</v>
      </c>
      <c r="X41" s="383">
        <f t="shared" si="46"/>
        <v>3243042.5566225951</v>
      </c>
      <c r="Y41" s="383">
        <f t="shared" si="46"/>
        <v>3244020.1939838827</v>
      </c>
      <c r="Z41" s="383">
        <f t="shared" si="46"/>
        <v>0</v>
      </c>
      <c r="AA41" s="383">
        <f t="shared" si="46"/>
        <v>0</v>
      </c>
    </row>
    <row r="42" spans="2:27" x14ac:dyDescent="0.3">
      <c r="B42" s="13"/>
      <c r="C42" s="467"/>
      <c r="D42" s="463" t="s">
        <v>402</v>
      </c>
      <c r="E42" s="446"/>
      <c r="F42" s="468"/>
      <c r="G42" s="380">
        <f>+G41/G38</f>
        <v>0.63690631475536374</v>
      </c>
      <c r="H42" s="380">
        <f t="shared" ref="H42:AA42" si="47">+H41/H38</f>
        <v>0.63777230972909849</v>
      </c>
      <c r="I42" s="380">
        <f t="shared" si="47"/>
        <v>0.65219987930078271</v>
      </c>
      <c r="J42" s="380">
        <f t="shared" si="47"/>
        <v>0.64396176852501952</v>
      </c>
      <c r="K42" s="380">
        <f t="shared" si="47"/>
        <v>0.70072142835004758</v>
      </c>
      <c r="L42" s="380">
        <f t="shared" si="47"/>
        <v>0.69325441310032643</v>
      </c>
      <c r="M42" s="380">
        <f t="shared" si="47"/>
        <v>0.79102551433137225</v>
      </c>
      <c r="N42" s="380">
        <f t="shared" si="47"/>
        <v>0.73743580444598045</v>
      </c>
      <c r="O42" s="380">
        <f t="shared" si="47"/>
        <v>0.66736203778794456</v>
      </c>
      <c r="P42" s="380">
        <f t="shared" si="47"/>
        <v>0.63994872806031278</v>
      </c>
      <c r="Q42" s="380">
        <f t="shared" si="47"/>
        <v>0.45358671997452449</v>
      </c>
      <c r="R42" s="380">
        <f t="shared" si="47"/>
        <v>0.38092025188422896</v>
      </c>
      <c r="S42" s="380">
        <f t="shared" si="47"/>
        <v>0.38227881669235197</v>
      </c>
      <c r="T42" s="380">
        <f t="shared" si="47"/>
        <v>0.36345141929042696</v>
      </c>
      <c r="U42" s="380">
        <f t="shared" si="47"/>
        <v>0.36333374299832472</v>
      </c>
      <c r="V42" s="380">
        <f t="shared" si="47"/>
        <v>0.16892547859983398</v>
      </c>
      <c r="W42" s="380">
        <f t="shared" si="47"/>
        <v>0.16879717715960857</v>
      </c>
      <c r="X42" s="380">
        <f t="shared" si="47"/>
        <v>0.16879789374587048</v>
      </c>
      <c r="Y42" s="380">
        <f t="shared" si="47"/>
        <v>0.16884018754536675</v>
      </c>
      <c r="Z42" s="380">
        <f t="shared" si="47"/>
        <v>0</v>
      </c>
      <c r="AA42" s="380">
        <f t="shared" si="47"/>
        <v>0</v>
      </c>
    </row>
    <row r="43" spans="2:27" x14ac:dyDescent="0.3">
      <c r="B43" s="13"/>
      <c r="C43" s="467"/>
      <c r="D43" s="471" t="s">
        <v>478</v>
      </c>
      <c r="E43" s="454"/>
      <c r="F43" s="469"/>
      <c r="G43" s="383">
        <f t="shared" ref="G43:AA43" si="48">+G38-G36</f>
        <v>0</v>
      </c>
      <c r="H43" s="383">
        <f t="shared" si="48"/>
        <v>0</v>
      </c>
      <c r="I43" s="383">
        <f t="shared" si="48"/>
        <v>0</v>
      </c>
      <c r="J43" s="383">
        <f t="shared" si="48"/>
        <v>0</v>
      </c>
      <c r="K43" s="383">
        <f t="shared" si="48"/>
        <v>0</v>
      </c>
      <c r="L43" s="383">
        <f t="shared" si="48"/>
        <v>0</v>
      </c>
      <c r="M43" s="383">
        <f t="shared" si="48"/>
        <v>0</v>
      </c>
      <c r="N43" s="383">
        <f t="shared" si="48"/>
        <v>0</v>
      </c>
      <c r="O43" s="383">
        <f t="shared" si="48"/>
        <v>74351.185655934736</v>
      </c>
      <c r="P43" s="383">
        <f t="shared" si="48"/>
        <v>-55063.205781523138</v>
      </c>
      <c r="Q43" s="383">
        <f t="shared" si="48"/>
        <v>1397057.9416848999</v>
      </c>
      <c r="R43" s="383">
        <f t="shared" si="48"/>
        <v>2486225.5162435938</v>
      </c>
      <c r="S43" s="383">
        <f t="shared" si="48"/>
        <v>1746327.1093351562</v>
      </c>
      <c r="T43" s="383">
        <f t="shared" si="48"/>
        <v>1663700.7646053899</v>
      </c>
      <c r="U43" s="383">
        <f t="shared" si="48"/>
        <v>799292.43908915855</v>
      </c>
      <c r="V43" s="383">
        <f t="shared" si="48"/>
        <v>3597907.837423794</v>
      </c>
      <c r="W43" s="383">
        <f t="shared" si="48"/>
        <v>2633462.6320561152</v>
      </c>
      <c r="X43" s="383">
        <f t="shared" si="48"/>
        <v>1618031.2786980234</v>
      </c>
      <c r="Y43" s="383">
        <f t="shared" si="48"/>
        <v>546738.08272597194</v>
      </c>
      <c r="Z43" s="383">
        <f t="shared" si="48"/>
        <v>18176148.155408759</v>
      </c>
      <c r="AA43" s="383">
        <f t="shared" si="48"/>
        <v>25606160.82207543</v>
      </c>
    </row>
    <row r="44" spans="2:27" x14ac:dyDescent="0.3">
      <c r="B44" s="13"/>
      <c r="C44" s="13"/>
      <c r="D44" s="13"/>
      <c r="E44" s="13"/>
      <c r="F44" s="13"/>
      <c r="G44" s="41"/>
      <c r="H44" s="41"/>
      <c r="I44" s="41"/>
      <c r="J44" s="41"/>
      <c r="K44" s="41"/>
      <c r="L44" s="41"/>
      <c r="M44" s="41"/>
      <c r="N44" s="41"/>
      <c r="O44" s="41"/>
      <c r="P44" s="41"/>
      <c r="Q44" s="41"/>
      <c r="R44" s="41"/>
      <c r="S44" s="41"/>
      <c r="T44" s="41"/>
      <c r="U44" s="41"/>
      <c r="V44" s="41"/>
      <c r="W44" s="41"/>
      <c r="X44" s="41"/>
      <c r="Y44" s="41"/>
      <c r="Z44" s="41"/>
      <c r="AA44" s="41"/>
    </row>
    <row r="45" spans="2:27" x14ac:dyDescent="0.3">
      <c r="B45" s="457"/>
      <c r="C45" s="458"/>
      <c r="D45" s="461" t="s">
        <v>441</v>
      </c>
      <c r="E45" s="439"/>
      <c r="F45" s="438"/>
      <c r="G45" s="381">
        <v>2010</v>
      </c>
      <c r="H45" s="381">
        <v>2011</v>
      </c>
      <c r="I45" s="381">
        <v>2012</v>
      </c>
      <c r="J45" s="381">
        <v>2013</v>
      </c>
      <c r="K45" s="381">
        <v>2014</v>
      </c>
      <c r="L45" s="381">
        <v>2015</v>
      </c>
      <c r="M45" s="381">
        <v>2016</v>
      </c>
      <c r="N45" s="381">
        <v>2017</v>
      </c>
      <c r="O45" s="381">
        <v>2018</v>
      </c>
      <c r="P45" s="381">
        <v>2019</v>
      </c>
      <c r="Q45" s="381">
        <v>2020</v>
      </c>
      <c r="R45" s="381">
        <v>2021</v>
      </c>
      <c r="S45" s="381">
        <v>2022</v>
      </c>
      <c r="T45" s="381">
        <v>2023</v>
      </c>
      <c r="U45" s="381">
        <v>2024</v>
      </c>
      <c r="V45" s="381">
        <v>2025</v>
      </c>
      <c r="W45" s="381">
        <v>2026</v>
      </c>
      <c r="X45" s="381">
        <v>2027</v>
      </c>
      <c r="Y45" s="381">
        <v>2028</v>
      </c>
      <c r="Z45" s="381">
        <v>2029</v>
      </c>
      <c r="AA45" s="381">
        <v>2030</v>
      </c>
    </row>
    <row r="46" spans="2:27" ht="15.6" x14ac:dyDescent="0.35">
      <c r="B46" s="13"/>
      <c r="C46" s="467"/>
      <c r="D46" s="463" t="s">
        <v>443</v>
      </c>
      <c r="E46" s="446"/>
      <c r="F46" s="468"/>
      <c r="G46" s="200">
        <f>+OM_EF_2010!H23</f>
        <v>2367600.8022007537</v>
      </c>
      <c r="H46" s="200">
        <f>+OM_EF_2011!H22</f>
        <v>2563443.5542223589</v>
      </c>
      <c r="I46" s="200">
        <f>+OM_EF_2012!H22</f>
        <v>2817609.7087179245</v>
      </c>
      <c r="J46" s="200">
        <f>+OM_EF_2013!H22</f>
        <v>2778715.3568573501</v>
      </c>
      <c r="K46" s="200">
        <f>+OM_EF_2014!H22</f>
        <v>3227014.1231285771</v>
      </c>
      <c r="L46" s="200">
        <f>+OM_EF_2015!H22</f>
        <v>3281998.2416344592</v>
      </c>
      <c r="M46" s="200">
        <f>+OM_EF_2016!H23</f>
        <v>4027512.3858852028</v>
      </c>
      <c r="N46" s="200">
        <f>+OM_EF_2017!H22</f>
        <v>3757647.5833060076</v>
      </c>
      <c r="O46" s="200">
        <f>+SUMPRODUCT($F$191:$F$258,O191:O258)+SUMPRODUCT($F$55:$F$78,O55:O78)</f>
        <v>3649126.2841368457</v>
      </c>
      <c r="P46" s="200">
        <f t="shared" ref="P46:AA46" si="49">+SUMPRODUCT($F$191:$F$258,P191:P258)+SUMPRODUCT($F$55:$F$78,P55:P78)</f>
        <v>3738352.4734215885</v>
      </c>
      <c r="Q46" s="200">
        <f t="shared" si="49"/>
        <v>3130293.7738030697</v>
      </c>
      <c r="R46" s="200">
        <f t="shared" si="49"/>
        <v>3100192.1497618537</v>
      </c>
      <c r="S46" s="200">
        <f t="shared" si="49"/>
        <v>3117677.6196763488</v>
      </c>
      <c r="T46" s="200">
        <f t="shared" si="49"/>
        <v>3111249.5164674278</v>
      </c>
      <c r="U46" s="200">
        <f t="shared" si="49"/>
        <v>3109706.4286352098</v>
      </c>
      <c r="V46" s="200">
        <f t="shared" si="49"/>
        <v>1717150.907472095</v>
      </c>
      <c r="W46" s="200">
        <f t="shared" si="49"/>
        <v>1715550.9858887549</v>
      </c>
      <c r="X46" s="200">
        <f>+SUMPRODUCT($F$191:$F$258,X191:X258)+SUMPRODUCT($F$55:$F$78,X55:X78)</f>
        <v>1715560.4581806087</v>
      </c>
      <c r="Y46" s="200">
        <f t="shared" si="49"/>
        <v>1716087.4505138197</v>
      </c>
      <c r="Z46" s="200">
        <f t="shared" si="49"/>
        <v>0</v>
      </c>
      <c r="AA46" s="200">
        <f t="shared" si="49"/>
        <v>0</v>
      </c>
    </row>
    <row r="47" spans="2:27" ht="15.6" x14ac:dyDescent="0.35">
      <c r="B47" s="13"/>
      <c r="C47" s="467"/>
      <c r="D47" s="463" t="s">
        <v>445</v>
      </c>
      <c r="E47" s="446"/>
      <c r="F47" s="468"/>
      <c r="G47" s="402">
        <f>+'Grid-EF'!H9</f>
        <v>0.3890598651268462</v>
      </c>
      <c r="H47" s="402">
        <f>+'Grid-EF'!I9</f>
        <v>0.38881636387976309</v>
      </c>
      <c r="I47" s="402">
        <f>+'Grid-EF'!J9</f>
        <v>0.41061499921819916</v>
      </c>
      <c r="J47" s="402">
        <f>+'Grid-EF'!K9</f>
        <v>0.38133374857362462</v>
      </c>
      <c r="K47" s="402">
        <f>+'Grid-EF'!L9</f>
        <v>0.41673904967390796</v>
      </c>
      <c r="L47" s="402">
        <f>+'Grid-EF'!M9</f>
        <v>0.39789914864278025</v>
      </c>
      <c r="M47" s="402">
        <f>+'Grid-EF'!N9</f>
        <v>0.46455989911712259</v>
      </c>
      <c r="N47" s="402">
        <f>+'Grid-EF'!O9</f>
        <v>0.42261392631992878</v>
      </c>
      <c r="O47" s="402">
        <f>+O46/O38</f>
        <v>0.38211324773885369</v>
      </c>
      <c r="P47" s="402">
        <f t="shared" ref="P47:AA47" si="50">+P46/P38</f>
        <v>0.36587813723755713</v>
      </c>
      <c r="Q47" s="402">
        <f t="shared" si="50"/>
        <v>0.25059805059026524</v>
      </c>
      <c r="R47" s="402">
        <f t="shared" si="50"/>
        <v>0.21026199790674616</v>
      </c>
      <c r="S47" s="402">
        <f t="shared" si="50"/>
        <v>0.21098388129331927</v>
      </c>
      <c r="T47" s="402">
        <f t="shared" si="50"/>
        <v>0.20060232970488617</v>
      </c>
      <c r="U47" s="402">
        <f t="shared" si="50"/>
        <v>0.20053990306616795</v>
      </c>
      <c r="V47" s="402">
        <f t="shared" si="50"/>
        <v>8.9362677422468673E-2</v>
      </c>
      <c r="W47" s="402">
        <f t="shared" si="50"/>
        <v>8.9293198478340233E-2</v>
      </c>
      <c r="X47" s="402">
        <f t="shared" si="50"/>
        <v>8.9293614523568862E-2</v>
      </c>
      <c r="Y47" s="402">
        <f t="shared" si="50"/>
        <v>8.9316499177884937E-2</v>
      </c>
      <c r="Z47" s="402">
        <f t="shared" si="50"/>
        <v>0</v>
      </c>
      <c r="AA47" s="402">
        <f t="shared" si="50"/>
        <v>0</v>
      </c>
    </row>
    <row r="48" spans="2:27" ht="15.6" x14ac:dyDescent="0.35">
      <c r="B48" s="13"/>
      <c r="C48" s="467"/>
      <c r="D48" s="463" t="s">
        <v>447</v>
      </c>
      <c r="E48" s="446"/>
      <c r="F48" s="468"/>
      <c r="G48" s="402">
        <f>+G46/G41</f>
        <v>0.61085885963665543</v>
      </c>
      <c r="H48" s="402">
        <f t="shared" ref="H48:Y48" si="51">+H46/H41</f>
        <v>0.6096476092618659</v>
      </c>
      <c r="I48" s="402">
        <f t="shared" si="51"/>
        <v>0.62958459860252602</v>
      </c>
      <c r="J48" s="402">
        <f t="shared" si="51"/>
        <v>0.59216830441201707</v>
      </c>
      <c r="K48" s="402">
        <f t="shared" si="51"/>
        <v>0.5947285651805766</v>
      </c>
      <c r="L48" s="402">
        <f t="shared" si="51"/>
        <v>0.57395833495429482</v>
      </c>
      <c r="M48" s="402">
        <f t="shared" si="51"/>
        <v>0.58728813508600886</v>
      </c>
      <c r="N48" s="402">
        <f t="shared" si="51"/>
        <v>0.57315440879168567</v>
      </c>
      <c r="O48" s="402">
        <f t="shared" si="51"/>
        <v>0.57257264588410828</v>
      </c>
      <c r="P48" s="402">
        <f t="shared" si="51"/>
        <v>0.57173039213084353</v>
      </c>
      <c r="Q48" s="402">
        <f t="shared" si="51"/>
        <v>0.55248101312212128</v>
      </c>
      <c r="R48" s="402">
        <f t="shared" si="51"/>
        <v>0.55198429820068995</v>
      </c>
      <c r="S48" s="402">
        <f t="shared" si="51"/>
        <v>0.55191099292094337</v>
      </c>
      <c r="T48" s="402">
        <f t="shared" si="51"/>
        <v>0.5519371202251071</v>
      </c>
      <c r="U48" s="402">
        <f t="shared" si="51"/>
        <v>0.55194406501102933</v>
      </c>
      <c r="V48" s="402">
        <f t="shared" si="51"/>
        <v>0.52900650726678777</v>
      </c>
      <c r="W48" s="402">
        <f t="shared" si="51"/>
        <v>0.52899698905454895</v>
      </c>
      <c r="X48" s="402">
        <f t="shared" si="51"/>
        <v>0.52899720809314521</v>
      </c>
      <c r="Y48" s="402">
        <f t="shared" si="51"/>
        <v>0.52900023671133345</v>
      </c>
      <c r="Z48" s="402"/>
      <c r="AA48" s="402">
        <v>0</v>
      </c>
    </row>
    <row r="49" spans="2:27" x14ac:dyDescent="0.3">
      <c r="B49" s="13"/>
      <c r="C49" s="13"/>
      <c r="D49" s="13"/>
      <c r="E49" s="13"/>
      <c r="F49" s="13"/>
      <c r="G49" s="41"/>
      <c r="H49" s="41"/>
      <c r="I49" s="41"/>
      <c r="J49" s="41"/>
      <c r="K49" s="41"/>
      <c r="L49" s="41"/>
      <c r="M49" s="41"/>
      <c r="N49" s="41"/>
      <c r="O49" s="41"/>
      <c r="P49" s="41"/>
      <c r="Q49" s="41"/>
      <c r="R49" s="41"/>
      <c r="S49" s="41"/>
      <c r="T49" s="41"/>
      <c r="U49" s="41"/>
      <c r="V49" s="41"/>
      <c r="W49" s="41"/>
      <c r="X49" s="41"/>
      <c r="Y49" s="41"/>
      <c r="Z49" s="41"/>
      <c r="AA49" s="41"/>
    </row>
    <row r="50" spans="2:27" x14ac:dyDescent="0.3">
      <c r="B50" s="385" t="s">
        <v>409</v>
      </c>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7"/>
    </row>
    <row r="51" spans="2:27" x14ac:dyDescent="0.3">
      <c r="B51" s="13"/>
      <c r="C51" s="13"/>
      <c r="D51" s="13"/>
      <c r="E51" s="13"/>
      <c r="F51" s="13"/>
      <c r="G51" s="41"/>
      <c r="H51" s="41"/>
      <c r="I51" s="41"/>
      <c r="J51" s="41"/>
      <c r="K51" s="41"/>
      <c r="L51" s="41"/>
      <c r="M51" s="41"/>
      <c r="N51" s="41"/>
      <c r="O51" s="41"/>
      <c r="P51" s="41"/>
      <c r="Q51" s="41"/>
      <c r="R51" s="41"/>
      <c r="S51" s="41"/>
      <c r="T51" s="41"/>
      <c r="U51" s="41"/>
      <c r="V51" s="41"/>
      <c r="W51" s="41"/>
      <c r="X51" s="41"/>
      <c r="Y51" s="41"/>
      <c r="Z51" s="41"/>
      <c r="AA51" s="41"/>
    </row>
    <row r="52" spans="2:27" x14ac:dyDescent="0.3">
      <c r="B52" s="439"/>
      <c r="C52" s="440"/>
      <c r="D52" s="440"/>
      <c r="E52" s="440"/>
      <c r="F52" s="438"/>
      <c r="G52" s="381">
        <v>2010</v>
      </c>
      <c r="H52" s="381">
        <v>2011</v>
      </c>
      <c r="I52" s="381">
        <v>2012</v>
      </c>
      <c r="J52" s="381">
        <v>2013</v>
      </c>
      <c r="K52" s="381">
        <v>2014</v>
      </c>
      <c r="L52" s="381">
        <v>2015</v>
      </c>
      <c r="M52" s="381">
        <v>2016</v>
      </c>
      <c r="N52" s="381">
        <v>2017</v>
      </c>
      <c r="O52" s="381">
        <v>2018</v>
      </c>
      <c r="P52" s="381">
        <v>2019</v>
      </c>
      <c r="Q52" s="381">
        <v>2020</v>
      </c>
      <c r="R52" s="381">
        <v>2021</v>
      </c>
      <c r="S52" s="381">
        <v>2022</v>
      </c>
      <c r="T52" s="381">
        <v>2023</v>
      </c>
      <c r="U52" s="381">
        <v>2024</v>
      </c>
      <c r="V52" s="381">
        <v>2025</v>
      </c>
      <c r="W52" s="381">
        <v>2026</v>
      </c>
      <c r="X52" s="381">
        <v>2027</v>
      </c>
      <c r="Y52" s="381">
        <v>2028</v>
      </c>
      <c r="Z52" s="381">
        <v>2029</v>
      </c>
      <c r="AA52" s="381">
        <v>2030</v>
      </c>
    </row>
    <row r="53" spans="2:27" s="475" customFormat="1" ht="53.25" customHeight="1" x14ac:dyDescent="0.3">
      <c r="B53" s="473" t="s">
        <v>163</v>
      </c>
      <c r="C53" s="389" t="s">
        <v>279</v>
      </c>
      <c r="D53" s="389" t="s">
        <v>397</v>
      </c>
      <c r="E53" s="474" t="s">
        <v>247</v>
      </c>
      <c r="F53" s="397" t="s">
        <v>444</v>
      </c>
      <c r="G53" s="397" t="s">
        <v>197</v>
      </c>
      <c r="H53" s="397" t="s">
        <v>197</v>
      </c>
      <c r="I53" s="397" t="s">
        <v>197</v>
      </c>
      <c r="J53" s="397" t="s">
        <v>197</v>
      </c>
      <c r="K53" s="397" t="s">
        <v>197</v>
      </c>
      <c r="L53" s="397" t="s">
        <v>197</v>
      </c>
      <c r="M53" s="397" t="s">
        <v>197</v>
      </c>
      <c r="N53" s="397" t="s">
        <v>197</v>
      </c>
      <c r="O53" s="397" t="s">
        <v>197</v>
      </c>
      <c r="P53" s="397" t="s">
        <v>197</v>
      </c>
      <c r="Q53" s="397" t="s">
        <v>197</v>
      </c>
      <c r="R53" s="397" t="s">
        <v>197</v>
      </c>
      <c r="S53" s="397" t="s">
        <v>197</v>
      </c>
      <c r="T53" s="397" t="s">
        <v>197</v>
      </c>
      <c r="U53" s="397" t="s">
        <v>197</v>
      </c>
      <c r="V53" s="397" t="s">
        <v>197</v>
      </c>
      <c r="W53" s="397" t="s">
        <v>197</v>
      </c>
      <c r="X53" s="397" t="s">
        <v>197</v>
      </c>
      <c r="Y53" s="397" t="s">
        <v>197</v>
      </c>
      <c r="Z53" s="397" t="s">
        <v>197</v>
      </c>
      <c r="AA53" s="397" t="s">
        <v>197</v>
      </c>
    </row>
    <row r="54" spans="2:27" x14ac:dyDescent="0.3">
      <c r="B54" s="16" t="s">
        <v>15</v>
      </c>
      <c r="C54" s="377"/>
      <c r="D54" s="377"/>
      <c r="E54" s="377"/>
      <c r="F54" s="377"/>
      <c r="G54" s="58">
        <f t="shared" ref="G54:O54" si="52">SUM(G55:G78)</f>
        <v>0</v>
      </c>
      <c r="H54" s="58">
        <f t="shared" si="52"/>
        <v>0</v>
      </c>
      <c r="I54" s="58">
        <f t="shared" si="52"/>
        <v>0</v>
      </c>
      <c r="J54" s="58">
        <f t="shared" si="52"/>
        <v>0</v>
      </c>
      <c r="K54" s="58">
        <f t="shared" si="52"/>
        <v>0</v>
      </c>
      <c r="L54" s="58">
        <f t="shared" si="52"/>
        <v>0</v>
      </c>
      <c r="M54" s="58">
        <f t="shared" si="52"/>
        <v>0</v>
      </c>
      <c r="N54" s="58">
        <f t="shared" si="52"/>
        <v>0</v>
      </c>
      <c r="O54" s="58">
        <f t="shared" si="52"/>
        <v>0</v>
      </c>
      <c r="P54" s="58">
        <f t="shared" ref="P54:AA54" si="53">SUM(P55:P78)</f>
        <v>0</v>
      </c>
      <c r="Q54" s="58">
        <f t="shared" si="53"/>
        <v>0</v>
      </c>
      <c r="R54" s="58">
        <f t="shared" si="53"/>
        <v>0</v>
      </c>
      <c r="S54" s="58">
        <f t="shared" si="53"/>
        <v>0</v>
      </c>
      <c r="T54" s="58">
        <f t="shared" si="53"/>
        <v>0</v>
      </c>
      <c r="U54" s="58">
        <f t="shared" si="53"/>
        <v>0</v>
      </c>
      <c r="V54" s="58">
        <f t="shared" si="53"/>
        <v>0</v>
      </c>
      <c r="W54" s="58">
        <f t="shared" si="53"/>
        <v>0</v>
      </c>
      <c r="X54" s="58">
        <f t="shared" si="53"/>
        <v>0</v>
      </c>
      <c r="Y54" s="58">
        <f t="shared" si="53"/>
        <v>0</v>
      </c>
      <c r="Z54" s="58">
        <f t="shared" si="53"/>
        <v>0</v>
      </c>
      <c r="AA54" s="58">
        <f t="shared" si="53"/>
        <v>0</v>
      </c>
    </row>
    <row r="55" spans="2:27" x14ac:dyDescent="0.3">
      <c r="B55" s="77" t="s">
        <v>23</v>
      </c>
      <c r="C55" s="75"/>
      <c r="D55" s="75"/>
      <c r="E55" s="75"/>
      <c r="F55" s="75"/>
      <c r="G55" s="61"/>
      <c r="H55" s="61"/>
      <c r="I55" s="61"/>
      <c r="J55" s="61"/>
      <c r="K55" s="61"/>
      <c r="L55" s="61"/>
      <c r="M55" s="61"/>
      <c r="N55" s="61"/>
      <c r="O55" s="61"/>
      <c r="P55" s="61"/>
      <c r="Q55" s="61"/>
      <c r="R55" s="61"/>
      <c r="S55" s="61"/>
      <c r="T55" s="61"/>
      <c r="U55" s="61"/>
      <c r="V55" s="61"/>
      <c r="W55" s="61"/>
      <c r="X55" s="61"/>
      <c r="Y55" s="61"/>
      <c r="Z55" s="61"/>
      <c r="AA55" s="61"/>
    </row>
    <row r="56" spans="2:27" x14ac:dyDescent="0.3">
      <c r="B56" s="76" t="s">
        <v>239</v>
      </c>
      <c r="C56" s="390"/>
      <c r="D56" s="426"/>
      <c r="E56" s="426"/>
      <c r="F56" s="434">
        <f>+'GHG-ER'!J29</f>
        <v>0.38170767905185599</v>
      </c>
      <c r="G56" s="49">
        <v>0</v>
      </c>
      <c r="H56" s="49">
        <v>0</v>
      </c>
      <c r="I56" s="49">
        <v>0</v>
      </c>
      <c r="J56" s="49">
        <v>0</v>
      </c>
      <c r="K56" s="49">
        <v>0</v>
      </c>
      <c r="L56" s="49">
        <v>0</v>
      </c>
      <c r="M56" s="49">
        <v>0</v>
      </c>
      <c r="N56" s="49">
        <v>0</v>
      </c>
      <c r="O56" s="49">
        <v>0</v>
      </c>
      <c r="P56" s="49">
        <f>+$D56*8760*$E56</f>
        <v>0</v>
      </c>
      <c r="Q56" s="49">
        <f t="shared" ref="Q56:AA58" si="54">+$D56*8760*$E56</f>
        <v>0</v>
      </c>
      <c r="R56" s="49">
        <f t="shared" si="54"/>
        <v>0</v>
      </c>
      <c r="S56" s="49">
        <f t="shared" si="54"/>
        <v>0</v>
      </c>
      <c r="T56" s="49">
        <f t="shared" si="54"/>
        <v>0</v>
      </c>
      <c r="U56" s="49">
        <f t="shared" si="54"/>
        <v>0</v>
      </c>
      <c r="V56" s="49">
        <f t="shared" si="54"/>
        <v>0</v>
      </c>
      <c r="W56" s="49">
        <f t="shared" si="54"/>
        <v>0</v>
      </c>
      <c r="X56" s="49">
        <f t="shared" si="54"/>
        <v>0</v>
      </c>
      <c r="Y56" s="49">
        <f t="shared" si="54"/>
        <v>0</v>
      </c>
      <c r="Z56" s="49">
        <f t="shared" si="54"/>
        <v>0</v>
      </c>
      <c r="AA56" s="49">
        <f t="shared" si="54"/>
        <v>0</v>
      </c>
    </row>
    <row r="57" spans="2:27" x14ac:dyDescent="0.3">
      <c r="B57" s="76" t="s">
        <v>240</v>
      </c>
      <c r="C57" s="390"/>
      <c r="D57" s="426"/>
      <c r="E57" s="426"/>
      <c r="F57" s="434"/>
      <c r="G57" s="49">
        <v>0</v>
      </c>
      <c r="H57" s="49">
        <v>0</v>
      </c>
      <c r="I57" s="49">
        <v>0</v>
      </c>
      <c r="J57" s="49">
        <v>0</v>
      </c>
      <c r="K57" s="49">
        <v>0</v>
      </c>
      <c r="L57" s="49">
        <v>0</v>
      </c>
      <c r="M57" s="49">
        <v>0</v>
      </c>
      <c r="N57" s="49">
        <v>0</v>
      </c>
      <c r="O57" s="49">
        <v>0</v>
      </c>
      <c r="P57" s="49">
        <f>+$D57*8760*$E57</f>
        <v>0</v>
      </c>
      <c r="Q57" s="49">
        <f t="shared" si="54"/>
        <v>0</v>
      </c>
      <c r="R57" s="49">
        <f t="shared" si="54"/>
        <v>0</v>
      </c>
      <c r="S57" s="49">
        <f t="shared" si="54"/>
        <v>0</v>
      </c>
      <c r="T57" s="49">
        <f t="shared" si="54"/>
        <v>0</v>
      </c>
      <c r="U57" s="49">
        <f t="shared" si="54"/>
        <v>0</v>
      </c>
      <c r="V57" s="49">
        <f t="shared" si="54"/>
        <v>0</v>
      </c>
      <c r="W57" s="49">
        <f t="shared" si="54"/>
        <v>0</v>
      </c>
      <c r="X57" s="49">
        <f t="shared" si="54"/>
        <v>0</v>
      </c>
      <c r="Y57" s="49">
        <f t="shared" si="54"/>
        <v>0</v>
      </c>
      <c r="Z57" s="49">
        <f t="shared" si="54"/>
        <v>0</v>
      </c>
      <c r="AA57" s="49">
        <f t="shared" si="54"/>
        <v>0</v>
      </c>
    </row>
    <row r="58" spans="2:27" x14ac:dyDescent="0.3">
      <c r="B58" s="76" t="s">
        <v>241</v>
      </c>
      <c r="C58" s="390"/>
      <c r="D58" s="426"/>
      <c r="E58" s="426"/>
      <c r="F58" s="434"/>
      <c r="G58" s="49">
        <v>0</v>
      </c>
      <c r="H58" s="49">
        <v>0</v>
      </c>
      <c r="I58" s="49">
        <v>0</v>
      </c>
      <c r="J58" s="49">
        <v>0</v>
      </c>
      <c r="K58" s="49">
        <v>0</v>
      </c>
      <c r="L58" s="49">
        <v>0</v>
      </c>
      <c r="M58" s="49">
        <v>0</v>
      </c>
      <c r="N58" s="49">
        <v>0</v>
      </c>
      <c r="O58" s="49">
        <v>0</v>
      </c>
      <c r="P58" s="49">
        <f>+$D58*8760*$E58</f>
        <v>0</v>
      </c>
      <c r="Q58" s="49">
        <f t="shared" si="54"/>
        <v>0</v>
      </c>
      <c r="R58" s="49">
        <f t="shared" si="54"/>
        <v>0</v>
      </c>
      <c r="S58" s="49">
        <f t="shared" si="54"/>
        <v>0</v>
      </c>
      <c r="T58" s="49">
        <f t="shared" si="54"/>
        <v>0</v>
      </c>
      <c r="U58" s="49">
        <f t="shared" si="54"/>
        <v>0</v>
      </c>
      <c r="V58" s="49">
        <f t="shared" si="54"/>
        <v>0</v>
      </c>
      <c r="W58" s="49">
        <f t="shared" si="54"/>
        <v>0</v>
      </c>
      <c r="X58" s="49">
        <f t="shared" si="54"/>
        <v>0</v>
      </c>
      <c r="Y58" s="49">
        <f t="shared" si="54"/>
        <v>0</v>
      </c>
      <c r="Z58" s="49">
        <f t="shared" si="54"/>
        <v>0</v>
      </c>
      <c r="AA58" s="49">
        <f t="shared" si="54"/>
        <v>0</v>
      </c>
    </row>
    <row r="59" spans="2:27" x14ac:dyDescent="0.3">
      <c r="B59" s="77" t="s">
        <v>24</v>
      </c>
      <c r="C59" s="75"/>
      <c r="D59" s="75"/>
      <c r="E59" s="75"/>
      <c r="F59" s="75"/>
      <c r="G59" s="61"/>
      <c r="H59" s="61"/>
      <c r="I59" s="61"/>
      <c r="J59" s="61"/>
      <c r="K59" s="61"/>
      <c r="L59" s="61"/>
      <c r="M59" s="61"/>
      <c r="N59" s="61"/>
      <c r="O59" s="61"/>
      <c r="P59" s="61"/>
      <c r="Q59" s="61"/>
      <c r="R59" s="61"/>
      <c r="S59" s="61"/>
      <c r="T59" s="61"/>
      <c r="U59" s="61"/>
      <c r="V59" s="61"/>
      <c r="W59" s="61"/>
      <c r="X59" s="61"/>
      <c r="Y59" s="61"/>
      <c r="Z59" s="61"/>
      <c r="AA59" s="61"/>
    </row>
    <row r="60" spans="2:27" x14ac:dyDescent="0.3">
      <c r="B60" s="76" t="s">
        <v>451</v>
      </c>
      <c r="C60" s="390"/>
      <c r="D60" s="426"/>
      <c r="E60" s="426"/>
      <c r="F60" s="434"/>
      <c r="G60" s="49">
        <v>0</v>
      </c>
      <c r="H60" s="49">
        <v>0</v>
      </c>
      <c r="I60" s="49">
        <v>0</v>
      </c>
      <c r="J60" s="49">
        <v>0</v>
      </c>
      <c r="K60" s="49">
        <v>0</v>
      </c>
      <c r="L60" s="49">
        <v>0</v>
      </c>
      <c r="M60" s="49">
        <v>0</v>
      </c>
      <c r="N60" s="49">
        <v>0</v>
      </c>
      <c r="O60" s="49">
        <v>0</v>
      </c>
      <c r="P60" s="49">
        <v>0</v>
      </c>
      <c r="Q60" s="49">
        <f>+$D60*8760*$E60</f>
        <v>0</v>
      </c>
      <c r="R60" s="49">
        <f t="shared" ref="R60:AA61" si="55">+$D60*8760*$E60</f>
        <v>0</v>
      </c>
      <c r="S60" s="49">
        <f t="shared" si="55"/>
        <v>0</v>
      </c>
      <c r="T60" s="49">
        <f t="shared" si="55"/>
        <v>0</v>
      </c>
      <c r="U60" s="49">
        <f t="shared" si="55"/>
        <v>0</v>
      </c>
      <c r="V60" s="49">
        <f t="shared" si="55"/>
        <v>0</v>
      </c>
      <c r="W60" s="49">
        <f t="shared" si="55"/>
        <v>0</v>
      </c>
      <c r="X60" s="49">
        <f t="shared" si="55"/>
        <v>0</v>
      </c>
      <c r="Y60" s="49">
        <f t="shared" si="55"/>
        <v>0</v>
      </c>
      <c r="Z60" s="49">
        <f t="shared" si="55"/>
        <v>0</v>
      </c>
      <c r="AA60" s="49">
        <f t="shared" si="55"/>
        <v>0</v>
      </c>
    </row>
    <row r="61" spans="2:27" x14ac:dyDescent="0.3">
      <c r="B61" s="76" t="s">
        <v>450</v>
      </c>
      <c r="C61" s="390"/>
      <c r="D61" s="426"/>
      <c r="E61" s="426"/>
      <c r="F61" s="434"/>
      <c r="G61" s="49">
        <v>0</v>
      </c>
      <c r="H61" s="49">
        <v>0</v>
      </c>
      <c r="I61" s="49">
        <v>0</v>
      </c>
      <c r="J61" s="49">
        <v>0</v>
      </c>
      <c r="K61" s="49">
        <v>0</v>
      </c>
      <c r="L61" s="49">
        <v>0</v>
      </c>
      <c r="M61" s="49">
        <v>0</v>
      </c>
      <c r="N61" s="49">
        <v>0</v>
      </c>
      <c r="O61" s="49">
        <v>0</v>
      </c>
      <c r="P61" s="49">
        <v>0</v>
      </c>
      <c r="Q61" s="49">
        <f>+$D61*8760*$E61</f>
        <v>0</v>
      </c>
      <c r="R61" s="49">
        <f t="shared" si="55"/>
        <v>0</v>
      </c>
      <c r="S61" s="49">
        <f t="shared" si="55"/>
        <v>0</v>
      </c>
      <c r="T61" s="49">
        <f t="shared" si="55"/>
        <v>0</v>
      </c>
      <c r="U61" s="49">
        <f t="shared" si="55"/>
        <v>0</v>
      </c>
      <c r="V61" s="49">
        <f t="shared" si="55"/>
        <v>0</v>
      </c>
      <c r="W61" s="49">
        <f t="shared" si="55"/>
        <v>0</v>
      </c>
      <c r="X61" s="49">
        <f t="shared" si="55"/>
        <v>0</v>
      </c>
      <c r="Y61" s="49">
        <f t="shared" si="55"/>
        <v>0</v>
      </c>
      <c r="Z61" s="49">
        <f t="shared" si="55"/>
        <v>0</v>
      </c>
      <c r="AA61" s="49">
        <f t="shared" si="55"/>
        <v>0</v>
      </c>
    </row>
    <row r="62" spans="2:27" x14ac:dyDescent="0.3">
      <c r="B62" s="76" t="s">
        <v>235</v>
      </c>
      <c r="C62" s="390"/>
      <c r="D62" s="426"/>
      <c r="E62" s="426"/>
      <c r="F62" s="434"/>
      <c r="G62" s="49">
        <v>0</v>
      </c>
      <c r="H62" s="49">
        <v>0</v>
      </c>
      <c r="I62" s="49">
        <v>0</v>
      </c>
      <c r="J62" s="49">
        <v>0</v>
      </c>
      <c r="K62" s="49">
        <v>0</v>
      </c>
      <c r="L62" s="49">
        <v>0</v>
      </c>
      <c r="M62" s="49">
        <v>0</v>
      </c>
      <c r="N62" s="49">
        <v>0</v>
      </c>
      <c r="O62" s="49">
        <v>0</v>
      </c>
      <c r="P62" s="49">
        <f>+$D62*8760*$E62</f>
        <v>0</v>
      </c>
      <c r="Q62" s="49">
        <f t="shared" ref="Q62:AA78" si="56">+$D62*8760*$E62</f>
        <v>0</v>
      </c>
      <c r="R62" s="49">
        <f t="shared" si="56"/>
        <v>0</v>
      </c>
      <c r="S62" s="49">
        <f t="shared" si="56"/>
        <v>0</v>
      </c>
      <c r="T62" s="49">
        <f t="shared" si="56"/>
        <v>0</v>
      </c>
      <c r="U62" s="49">
        <f t="shared" si="56"/>
        <v>0</v>
      </c>
      <c r="V62" s="49">
        <f t="shared" si="56"/>
        <v>0</v>
      </c>
      <c r="W62" s="49">
        <f t="shared" si="56"/>
        <v>0</v>
      </c>
      <c r="X62" s="49">
        <f t="shared" si="56"/>
        <v>0</v>
      </c>
      <c r="Y62" s="49">
        <f t="shared" si="56"/>
        <v>0</v>
      </c>
      <c r="Z62" s="49">
        <f t="shared" si="56"/>
        <v>0</v>
      </c>
      <c r="AA62" s="49">
        <f t="shared" si="56"/>
        <v>0</v>
      </c>
    </row>
    <row r="63" spans="2:27" x14ac:dyDescent="0.3">
      <c r="B63" s="76" t="s">
        <v>236</v>
      </c>
      <c r="C63" s="390"/>
      <c r="D63" s="426"/>
      <c r="E63" s="426"/>
      <c r="F63" s="434"/>
      <c r="G63" s="49">
        <v>0</v>
      </c>
      <c r="H63" s="49">
        <v>0</v>
      </c>
      <c r="I63" s="49">
        <v>0</v>
      </c>
      <c r="J63" s="49">
        <v>0</v>
      </c>
      <c r="K63" s="49">
        <v>0</v>
      </c>
      <c r="L63" s="49">
        <v>0</v>
      </c>
      <c r="M63" s="49">
        <v>0</v>
      </c>
      <c r="N63" s="49">
        <v>0</v>
      </c>
      <c r="O63" s="49">
        <v>0</v>
      </c>
      <c r="P63" s="49">
        <f>+$D63*8760*$E63</f>
        <v>0</v>
      </c>
      <c r="Q63" s="49">
        <f t="shared" si="56"/>
        <v>0</v>
      </c>
      <c r="R63" s="49">
        <f t="shared" si="56"/>
        <v>0</v>
      </c>
      <c r="S63" s="49">
        <f t="shared" si="56"/>
        <v>0</v>
      </c>
      <c r="T63" s="49">
        <f t="shared" si="56"/>
        <v>0</v>
      </c>
      <c r="U63" s="49">
        <f t="shared" si="56"/>
        <v>0</v>
      </c>
      <c r="V63" s="49">
        <f t="shared" si="56"/>
        <v>0</v>
      </c>
      <c r="W63" s="49">
        <f t="shared" si="56"/>
        <v>0</v>
      </c>
      <c r="X63" s="49">
        <f t="shared" si="56"/>
        <v>0</v>
      </c>
      <c r="Y63" s="49">
        <f t="shared" si="56"/>
        <v>0</v>
      </c>
      <c r="Z63" s="49">
        <f t="shared" si="56"/>
        <v>0</v>
      </c>
      <c r="AA63" s="49">
        <f t="shared" si="56"/>
        <v>0</v>
      </c>
    </row>
    <row r="64" spans="2:27" x14ac:dyDescent="0.3">
      <c r="B64" s="77" t="s">
        <v>25</v>
      </c>
      <c r="C64" s="75"/>
      <c r="D64" s="75"/>
      <c r="E64" s="75"/>
      <c r="F64" s="75"/>
      <c r="G64" s="61"/>
      <c r="H64" s="61"/>
      <c r="I64" s="61"/>
      <c r="J64" s="61"/>
      <c r="K64" s="61"/>
      <c r="L64" s="61"/>
      <c r="M64" s="61"/>
      <c r="N64" s="61"/>
      <c r="O64" s="61"/>
      <c r="P64" s="61"/>
      <c r="Q64" s="61"/>
      <c r="R64" s="61"/>
      <c r="S64" s="61"/>
      <c r="T64" s="61"/>
      <c r="U64" s="61"/>
      <c r="V64" s="61"/>
      <c r="W64" s="61"/>
      <c r="X64" s="61"/>
      <c r="Y64" s="61"/>
      <c r="Z64" s="61"/>
      <c r="AA64" s="61"/>
    </row>
    <row r="65" spans="2:27" x14ac:dyDescent="0.3">
      <c r="B65" s="76" t="s">
        <v>449</v>
      </c>
      <c r="C65" s="390"/>
      <c r="D65" s="426"/>
      <c r="E65" s="426"/>
      <c r="F65" s="434"/>
      <c r="G65" s="49">
        <v>0</v>
      </c>
      <c r="H65" s="49">
        <v>0</v>
      </c>
      <c r="I65" s="49">
        <v>0</v>
      </c>
      <c r="J65" s="49">
        <v>0</v>
      </c>
      <c r="K65" s="49">
        <v>0</v>
      </c>
      <c r="L65" s="49">
        <v>0</v>
      </c>
      <c r="M65" s="49">
        <v>0</v>
      </c>
      <c r="N65" s="49">
        <v>0</v>
      </c>
      <c r="O65" s="49">
        <v>0</v>
      </c>
      <c r="P65" s="49">
        <v>0</v>
      </c>
      <c r="Q65" s="49">
        <f>+$D65*8760*$E65</f>
        <v>0</v>
      </c>
      <c r="R65" s="49">
        <f t="shared" ref="R65:AA65" si="57">+$D65*8760*$E65</f>
        <v>0</v>
      </c>
      <c r="S65" s="49">
        <f t="shared" si="57"/>
        <v>0</v>
      </c>
      <c r="T65" s="49">
        <f t="shared" si="57"/>
        <v>0</v>
      </c>
      <c r="U65" s="49">
        <f t="shared" si="57"/>
        <v>0</v>
      </c>
      <c r="V65" s="49">
        <f t="shared" si="57"/>
        <v>0</v>
      </c>
      <c r="W65" s="49">
        <f t="shared" si="57"/>
        <v>0</v>
      </c>
      <c r="X65" s="49">
        <f t="shared" si="57"/>
        <v>0</v>
      </c>
      <c r="Y65" s="49">
        <f t="shared" si="57"/>
        <v>0</v>
      </c>
      <c r="Z65" s="49">
        <f t="shared" si="57"/>
        <v>0</v>
      </c>
      <c r="AA65" s="49">
        <f t="shared" si="57"/>
        <v>0</v>
      </c>
    </row>
    <row r="66" spans="2:27" x14ac:dyDescent="0.3">
      <c r="B66" s="76" t="s">
        <v>448</v>
      </c>
      <c r="C66" s="390"/>
      <c r="D66" s="426"/>
      <c r="E66" s="426"/>
      <c r="F66" s="434"/>
      <c r="G66" s="49">
        <v>0</v>
      </c>
      <c r="H66" s="49">
        <v>0</v>
      </c>
      <c r="I66" s="49">
        <v>0</v>
      </c>
      <c r="J66" s="49">
        <v>0</v>
      </c>
      <c r="K66" s="49">
        <v>0</v>
      </c>
      <c r="L66" s="49">
        <v>0</v>
      </c>
      <c r="M66" s="49">
        <v>0</v>
      </c>
      <c r="N66" s="49">
        <v>0</v>
      </c>
      <c r="O66" s="49">
        <v>0</v>
      </c>
      <c r="P66" s="49">
        <v>0</v>
      </c>
      <c r="Q66" s="49">
        <f t="shared" si="56"/>
        <v>0</v>
      </c>
      <c r="R66" s="49">
        <f t="shared" si="56"/>
        <v>0</v>
      </c>
      <c r="S66" s="49">
        <f t="shared" si="56"/>
        <v>0</v>
      </c>
      <c r="T66" s="49">
        <f t="shared" si="56"/>
        <v>0</v>
      </c>
      <c r="U66" s="49">
        <f t="shared" si="56"/>
        <v>0</v>
      </c>
      <c r="V66" s="49">
        <f t="shared" si="56"/>
        <v>0</v>
      </c>
      <c r="W66" s="49">
        <f t="shared" si="56"/>
        <v>0</v>
      </c>
      <c r="X66" s="49">
        <f t="shared" si="56"/>
        <v>0</v>
      </c>
      <c r="Y66" s="49">
        <f t="shared" si="56"/>
        <v>0</v>
      </c>
      <c r="Z66" s="49">
        <f t="shared" si="56"/>
        <v>0</v>
      </c>
      <c r="AA66" s="49">
        <f t="shared" si="56"/>
        <v>0</v>
      </c>
    </row>
    <row r="67" spans="2:27" x14ac:dyDescent="0.3">
      <c r="B67" s="76" t="s">
        <v>237</v>
      </c>
      <c r="C67" s="390"/>
      <c r="D67" s="426"/>
      <c r="E67" s="426"/>
      <c r="F67" s="434"/>
      <c r="G67" s="49">
        <v>0</v>
      </c>
      <c r="H67" s="49">
        <v>0</v>
      </c>
      <c r="I67" s="49">
        <v>0</v>
      </c>
      <c r="J67" s="49">
        <v>0</v>
      </c>
      <c r="K67" s="49">
        <v>0</v>
      </c>
      <c r="L67" s="49">
        <v>0</v>
      </c>
      <c r="M67" s="49">
        <v>0</v>
      </c>
      <c r="N67" s="49">
        <v>0</v>
      </c>
      <c r="O67" s="49">
        <v>0</v>
      </c>
      <c r="P67" s="49">
        <f>+$D67*8760*$E67</f>
        <v>0</v>
      </c>
      <c r="Q67" s="49">
        <f t="shared" si="56"/>
        <v>0</v>
      </c>
      <c r="R67" s="49">
        <f t="shared" si="56"/>
        <v>0</v>
      </c>
      <c r="S67" s="49">
        <f t="shared" si="56"/>
        <v>0</v>
      </c>
      <c r="T67" s="49">
        <f t="shared" si="56"/>
        <v>0</v>
      </c>
      <c r="U67" s="49">
        <f t="shared" si="56"/>
        <v>0</v>
      </c>
      <c r="V67" s="49">
        <f t="shared" si="56"/>
        <v>0</v>
      </c>
      <c r="W67" s="49">
        <f t="shared" si="56"/>
        <v>0</v>
      </c>
      <c r="X67" s="49">
        <f t="shared" si="56"/>
        <v>0</v>
      </c>
      <c r="Y67" s="49">
        <f t="shared" si="56"/>
        <v>0</v>
      </c>
      <c r="Z67" s="49">
        <f t="shared" si="56"/>
        <v>0</v>
      </c>
      <c r="AA67" s="49">
        <f t="shared" si="56"/>
        <v>0</v>
      </c>
    </row>
    <row r="68" spans="2:27" x14ac:dyDescent="0.3">
      <c r="B68" s="76" t="s">
        <v>238</v>
      </c>
      <c r="C68" s="390"/>
      <c r="D68" s="426"/>
      <c r="E68" s="426"/>
      <c r="F68" s="434"/>
      <c r="G68" s="49">
        <v>0</v>
      </c>
      <c r="H68" s="49">
        <v>0</v>
      </c>
      <c r="I68" s="49">
        <v>0</v>
      </c>
      <c r="J68" s="49">
        <v>0</v>
      </c>
      <c r="K68" s="49">
        <v>0</v>
      </c>
      <c r="L68" s="49">
        <v>0</v>
      </c>
      <c r="M68" s="49">
        <v>0</v>
      </c>
      <c r="N68" s="49">
        <v>0</v>
      </c>
      <c r="O68" s="49">
        <v>0</v>
      </c>
      <c r="P68" s="49">
        <f>+$D68*8760*$E68</f>
        <v>0</v>
      </c>
      <c r="Q68" s="49">
        <f t="shared" si="56"/>
        <v>0</v>
      </c>
      <c r="R68" s="49">
        <f t="shared" si="56"/>
        <v>0</v>
      </c>
      <c r="S68" s="49">
        <f t="shared" si="56"/>
        <v>0</v>
      </c>
      <c r="T68" s="49">
        <f t="shared" si="56"/>
        <v>0</v>
      </c>
      <c r="U68" s="49">
        <f t="shared" si="56"/>
        <v>0</v>
      </c>
      <c r="V68" s="49">
        <f t="shared" si="56"/>
        <v>0</v>
      </c>
      <c r="W68" s="49">
        <f t="shared" si="56"/>
        <v>0</v>
      </c>
      <c r="X68" s="49">
        <f t="shared" si="56"/>
        <v>0</v>
      </c>
      <c r="Y68" s="49">
        <f t="shared" si="56"/>
        <v>0</v>
      </c>
      <c r="Z68" s="49">
        <f t="shared" si="56"/>
        <v>0</v>
      </c>
      <c r="AA68" s="49">
        <f t="shared" si="56"/>
        <v>0</v>
      </c>
    </row>
    <row r="69" spans="2:27" x14ac:dyDescent="0.3">
      <c r="B69" s="77" t="s">
        <v>16</v>
      </c>
      <c r="C69" s="75"/>
      <c r="D69" s="75"/>
      <c r="E69" s="75"/>
      <c r="F69" s="75"/>
      <c r="G69" s="61"/>
      <c r="H69" s="61"/>
      <c r="I69" s="61"/>
      <c r="J69" s="61"/>
      <c r="K69" s="61"/>
      <c r="L69" s="61"/>
      <c r="M69" s="61"/>
      <c r="N69" s="61"/>
      <c r="O69" s="61"/>
      <c r="P69" s="61"/>
      <c r="Q69" s="61"/>
      <c r="R69" s="61"/>
      <c r="S69" s="61"/>
      <c r="T69" s="61"/>
      <c r="U69" s="61"/>
      <c r="V69" s="61"/>
      <c r="W69" s="61"/>
      <c r="X69" s="61"/>
      <c r="Y69" s="61"/>
      <c r="Z69" s="61"/>
      <c r="AA69" s="61"/>
    </row>
    <row r="70" spans="2:27" x14ac:dyDescent="0.3">
      <c r="B70" s="76" t="str">
        <f>+B69</f>
        <v>Guaracachi</v>
      </c>
      <c r="C70" s="390"/>
      <c r="D70" s="426"/>
      <c r="E70" s="426"/>
      <c r="F70" s="434"/>
      <c r="G70" s="49">
        <v>0</v>
      </c>
      <c r="H70" s="49">
        <v>0</v>
      </c>
      <c r="I70" s="49">
        <v>0</v>
      </c>
      <c r="J70" s="49">
        <v>0</v>
      </c>
      <c r="K70" s="49">
        <v>0</v>
      </c>
      <c r="L70" s="49">
        <v>0</v>
      </c>
      <c r="M70" s="49">
        <v>0</v>
      </c>
      <c r="N70" s="49">
        <v>0</v>
      </c>
      <c r="O70" s="49">
        <v>0</v>
      </c>
      <c r="P70" s="49">
        <v>0</v>
      </c>
      <c r="Q70" s="49">
        <f>+$D70*8760*$E70</f>
        <v>0</v>
      </c>
      <c r="R70" s="49">
        <f t="shared" ref="R70:AA70" si="58">+$D70*8760*$E70</f>
        <v>0</v>
      </c>
      <c r="S70" s="49">
        <f t="shared" si="58"/>
        <v>0</v>
      </c>
      <c r="T70" s="49">
        <f t="shared" si="58"/>
        <v>0</v>
      </c>
      <c r="U70" s="49">
        <f t="shared" si="58"/>
        <v>0</v>
      </c>
      <c r="V70" s="49">
        <f t="shared" si="58"/>
        <v>0</v>
      </c>
      <c r="W70" s="49">
        <f t="shared" si="58"/>
        <v>0</v>
      </c>
      <c r="X70" s="49">
        <f t="shared" si="58"/>
        <v>0</v>
      </c>
      <c r="Y70" s="49">
        <f t="shared" si="58"/>
        <v>0</v>
      </c>
      <c r="Z70" s="49">
        <f t="shared" si="58"/>
        <v>0</v>
      </c>
      <c r="AA70" s="49">
        <f t="shared" si="58"/>
        <v>0</v>
      </c>
    </row>
    <row r="71" spans="2:27" x14ac:dyDescent="0.3">
      <c r="B71" s="77" t="s">
        <v>17</v>
      </c>
      <c r="C71" s="75"/>
      <c r="D71" s="75"/>
      <c r="E71" s="75"/>
      <c r="F71" s="75"/>
      <c r="G71" s="61"/>
      <c r="H71" s="61"/>
      <c r="I71" s="61"/>
      <c r="J71" s="61"/>
      <c r="K71" s="61"/>
      <c r="L71" s="61"/>
      <c r="M71" s="61"/>
      <c r="N71" s="61"/>
      <c r="O71" s="61"/>
      <c r="P71" s="61"/>
      <c r="Q71" s="61"/>
      <c r="R71" s="61"/>
      <c r="S71" s="61"/>
      <c r="T71" s="61"/>
      <c r="U71" s="61"/>
      <c r="V71" s="61"/>
      <c r="W71" s="61"/>
      <c r="X71" s="61"/>
      <c r="Y71" s="61"/>
      <c r="Z71" s="61"/>
      <c r="AA71" s="61"/>
    </row>
    <row r="72" spans="2:27" x14ac:dyDescent="0.3">
      <c r="B72" s="76" t="str">
        <f>+B71</f>
        <v>Santa Cruz</v>
      </c>
      <c r="C72" s="390"/>
      <c r="D72" s="426"/>
      <c r="E72" s="426"/>
      <c r="F72" s="434"/>
      <c r="G72" s="49">
        <v>0</v>
      </c>
      <c r="H72" s="49">
        <v>0</v>
      </c>
      <c r="I72" s="49">
        <v>0</v>
      </c>
      <c r="J72" s="49">
        <v>0</v>
      </c>
      <c r="K72" s="49">
        <v>0</v>
      </c>
      <c r="L72" s="49">
        <v>0</v>
      </c>
      <c r="M72" s="49">
        <v>0</v>
      </c>
      <c r="N72" s="49">
        <v>0</v>
      </c>
      <c r="O72" s="49">
        <v>0</v>
      </c>
      <c r="P72" s="49">
        <f>+$D72*8760*$E72</f>
        <v>0</v>
      </c>
      <c r="Q72" s="49">
        <f t="shared" si="56"/>
        <v>0</v>
      </c>
      <c r="R72" s="49">
        <f t="shared" si="56"/>
        <v>0</v>
      </c>
      <c r="S72" s="49">
        <f t="shared" si="56"/>
        <v>0</v>
      </c>
      <c r="T72" s="49">
        <f t="shared" si="56"/>
        <v>0</v>
      </c>
      <c r="U72" s="49">
        <f t="shared" si="56"/>
        <v>0</v>
      </c>
      <c r="V72" s="49">
        <f t="shared" si="56"/>
        <v>0</v>
      </c>
      <c r="W72" s="49">
        <f t="shared" si="56"/>
        <v>0</v>
      </c>
      <c r="X72" s="49">
        <f t="shared" si="56"/>
        <v>0</v>
      </c>
      <c r="Y72" s="49">
        <f t="shared" si="56"/>
        <v>0</v>
      </c>
      <c r="Z72" s="49">
        <f t="shared" si="56"/>
        <v>0</v>
      </c>
      <c r="AA72" s="49">
        <f t="shared" si="56"/>
        <v>0</v>
      </c>
    </row>
    <row r="73" spans="2:27" x14ac:dyDescent="0.3">
      <c r="B73" s="77" t="s">
        <v>18</v>
      </c>
      <c r="C73" s="75"/>
      <c r="D73" s="75"/>
      <c r="E73" s="75"/>
      <c r="F73" s="75"/>
      <c r="G73" s="61"/>
      <c r="H73" s="61"/>
      <c r="I73" s="61"/>
      <c r="J73" s="61"/>
      <c r="K73" s="61"/>
      <c r="L73" s="61"/>
      <c r="M73" s="61"/>
      <c r="N73" s="61"/>
      <c r="O73" s="61"/>
      <c r="P73" s="61"/>
      <c r="Q73" s="61"/>
      <c r="R73" s="61"/>
      <c r="S73" s="61"/>
      <c r="T73" s="61"/>
      <c r="U73" s="61"/>
      <c r="V73" s="61"/>
      <c r="W73" s="61"/>
      <c r="X73" s="61"/>
      <c r="Y73" s="61"/>
      <c r="Z73" s="61"/>
      <c r="AA73" s="61"/>
    </row>
    <row r="74" spans="2:27" x14ac:dyDescent="0.3">
      <c r="B74" s="76" t="str">
        <f>+B73</f>
        <v>Carrasco</v>
      </c>
      <c r="C74" s="390"/>
      <c r="D74" s="426"/>
      <c r="E74" s="426"/>
      <c r="F74" s="434"/>
      <c r="G74" s="49">
        <v>0</v>
      </c>
      <c r="H74" s="49">
        <v>0</v>
      </c>
      <c r="I74" s="49">
        <v>0</v>
      </c>
      <c r="J74" s="49">
        <v>0</v>
      </c>
      <c r="K74" s="49">
        <v>0</v>
      </c>
      <c r="L74" s="49">
        <v>0</v>
      </c>
      <c r="M74" s="49">
        <v>0</v>
      </c>
      <c r="N74" s="49">
        <v>0</v>
      </c>
      <c r="O74" s="49">
        <v>0</v>
      </c>
      <c r="P74" s="49">
        <f>+$D74*8760*$E74</f>
        <v>0</v>
      </c>
      <c r="Q74" s="49">
        <f t="shared" si="56"/>
        <v>0</v>
      </c>
      <c r="R74" s="49">
        <f t="shared" si="56"/>
        <v>0</v>
      </c>
      <c r="S74" s="49">
        <f t="shared" si="56"/>
        <v>0</v>
      </c>
      <c r="T74" s="49">
        <f t="shared" si="56"/>
        <v>0</v>
      </c>
      <c r="U74" s="49">
        <f t="shared" si="56"/>
        <v>0</v>
      </c>
      <c r="V74" s="49">
        <f t="shared" si="56"/>
        <v>0</v>
      </c>
      <c r="W74" s="49">
        <f t="shared" si="56"/>
        <v>0</v>
      </c>
      <c r="X74" s="49">
        <f t="shared" si="56"/>
        <v>0</v>
      </c>
      <c r="Y74" s="49">
        <f t="shared" si="56"/>
        <v>0</v>
      </c>
      <c r="Z74" s="49">
        <f t="shared" si="56"/>
        <v>0</v>
      </c>
      <c r="AA74" s="49">
        <f t="shared" si="56"/>
        <v>0</v>
      </c>
    </row>
    <row r="75" spans="2:27" x14ac:dyDescent="0.3">
      <c r="B75" s="77" t="s">
        <v>479</v>
      </c>
      <c r="C75" s="75"/>
      <c r="D75" s="75"/>
      <c r="E75" s="75"/>
      <c r="F75" s="75"/>
      <c r="G75" s="61"/>
      <c r="H75" s="61"/>
      <c r="I75" s="61"/>
      <c r="J75" s="61"/>
      <c r="K75" s="61"/>
      <c r="L75" s="61"/>
      <c r="M75" s="61"/>
      <c r="N75" s="61"/>
      <c r="O75" s="61"/>
      <c r="P75" s="61"/>
      <c r="Q75" s="61"/>
      <c r="R75" s="61"/>
      <c r="S75" s="61"/>
      <c r="T75" s="61"/>
      <c r="U75" s="61"/>
      <c r="V75" s="61"/>
      <c r="W75" s="61"/>
      <c r="X75" s="61"/>
      <c r="Y75" s="61"/>
      <c r="Z75" s="61"/>
      <c r="AA75" s="61"/>
    </row>
    <row r="76" spans="2:27" x14ac:dyDescent="0.3">
      <c r="B76" s="76" t="str">
        <f>+B75</f>
        <v>Natural Gas A</v>
      </c>
      <c r="C76" s="390"/>
      <c r="D76" s="182"/>
      <c r="E76" s="59"/>
      <c r="F76" s="59"/>
      <c r="G76" s="49">
        <f t="shared" ref="G76:L78" si="59">+IF($C76&lt;=G$52,$D76*8760*$E76,0)</f>
        <v>0</v>
      </c>
      <c r="H76" s="49">
        <f t="shared" si="59"/>
        <v>0</v>
      </c>
      <c r="I76" s="49">
        <f t="shared" si="59"/>
        <v>0</v>
      </c>
      <c r="J76" s="49">
        <f t="shared" si="59"/>
        <v>0</v>
      </c>
      <c r="K76" s="49">
        <f t="shared" si="59"/>
        <v>0</v>
      </c>
      <c r="L76" s="49">
        <f t="shared" si="59"/>
        <v>0</v>
      </c>
      <c r="M76" s="49">
        <f>+IF($C76&lt;=M$52,$D76*8760*$E76,0)</f>
        <v>0</v>
      </c>
      <c r="N76" s="49">
        <f t="shared" ref="N76:O78" si="60">+IF($C76&lt;=N$52,$D76*8760*$E76,0)</f>
        <v>0</v>
      </c>
      <c r="O76" s="49">
        <f t="shared" si="60"/>
        <v>0</v>
      </c>
      <c r="P76" s="49">
        <f>+$D76*8760*$E76</f>
        <v>0</v>
      </c>
      <c r="Q76" s="49">
        <f t="shared" si="56"/>
        <v>0</v>
      </c>
      <c r="R76" s="49">
        <f t="shared" si="56"/>
        <v>0</v>
      </c>
      <c r="S76" s="49">
        <f t="shared" si="56"/>
        <v>0</v>
      </c>
      <c r="T76" s="49">
        <f t="shared" si="56"/>
        <v>0</v>
      </c>
      <c r="U76" s="49">
        <f t="shared" si="56"/>
        <v>0</v>
      </c>
      <c r="V76" s="49">
        <f t="shared" si="56"/>
        <v>0</v>
      </c>
      <c r="W76" s="49">
        <f t="shared" si="56"/>
        <v>0</v>
      </c>
      <c r="X76" s="49">
        <f t="shared" si="56"/>
        <v>0</v>
      </c>
      <c r="Y76" s="49">
        <f t="shared" si="56"/>
        <v>0</v>
      </c>
      <c r="Z76" s="49">
        <f t="shared" si="56"/>
        <v>0</v>
      </c>
      <c r="AA76" s="49">
        <f t="shared" si="56"/>
        <v>0</v>
      </c>
    </row>
    <row r="77" spans="2:27" x14ac:dyDescent="0.3">
      <c r="B77" s="77" t="s">
        <v>480</v>
      </c>
      <c r="C77" s="75"/>
      <c r="D77" s="75"/>
      <c r="E77" s="75"/>
      <c r="F77" s="75"/>
      <c r="G77" s="61"/>
      <c r="H77" s="61"/>
      <c r="I77" s="61"/>
      <c r="J77" s="61"/>
      <c r="K77" s="61"/>
      <c r="L77" s="61"/>
      <c r="M77" s="61"/>
      <c r="N77" s="61"/>
      <c r="O77" s="61"/>
      <c r="P77" s="61"/>
      <c r="Q77" s="61"/>
      <c r="R77" s="61"/>
      <c r="S77" s="61"/>
      <c r="T77" s="61"/>
      <c r="U77" s="61"/>
      <c r="V77" s="61"/>
      <c r="W77" s="61"/>
      <c r="X77" s="61"/>
      <c r="Y77" s="61"/>
      <c r="Z77" s="61"/>
      <c r="AA77" s="61"/>
    </row>
    <row r="78" spans="2:27" x14ac:dyDescent="0.3">
      <c r="B78" s="76" t="str">
        <f>+B77</f>
        <v>Natural Gas B</v>
      </c>
      <c r="C78" s="390"/>
      <c r="D78" s="182"/>
      <c r="E78" s="59"/>
      <c r="F78" s="59"/>
      <c r="G78" s="49">
        <f t="shared" si="59"/>
        <v>0</v>
      </c>
      <c r="H78" s="49">
        <f t="shared" si="59"/>
        <v>0</v>
      </c>
      <c r="I78" s="49">
        <f t="shared" si="59"/>
        <v>0</v>
      </c>
      <c r="J78" s="49">
        <f t="shared" si="59"/>
        <v>0</v>
      </c>
      <c r="K78" s="49">
        <f t="shared" si="59"/>
        <v>0</v>
      </c>
      <c r="L78" s="49">
        <f t="shared" si="59"/>
        <v>0</v>
      </c>
      <c r="M78" s="49">
        <f>+IF($C78&lt;=M$52,$D78*8760*$E78,0)</f>
        <v>0</v>
      </c>
      <c r="N78" s="49">
        <f t="shared" si="60"/>
        <v>0</v>
      </c>
      <c r="O78" s="49">
        <f t="shared" si="60"/>
        <v>0</v>
      </c>
      <c r="P78" s="49">
        <f>+$D78*8760*$E78</f>
        <v>0</v>
      </c>
      <c r="Q78" s="49">
        <f t="shared" si="56"/>
        <v>0</v>
      </c>
      <c r="R78" s="49">
        <f t="shared" si="56"/>
        <v>0</v>
      </c>
      <c r="S78" s="49">
        <f t="shared" si="56"/>
        <v>0</v>
      </c>
      <c r="T78" s="49">
        <f t="shared" si="56"/>
        <v>0</v>
      </c>
      <c r="U78" s="49">
        <f t="shared" si="56"/>
        <v>0</v>
      </c>
      <c r="V78" s="49">
        <f t="shared" si="56"/>
        <v>0</v>
      </c>
      <c r="W78" s="49">
        <f t="shared" si="56"/>
        <v>0</v>
      </c>
      <c r="X78" s="49">
        <f t="shared" si="56"/>
        <v>0</v>
      </c>
      <c r="Y78" s="49">
        <f t="shared" si="56"/>
        <v>0</v>
      </c>
      <c r="Z78" s="49">
        <f t="shared" si="56"/>
        <v>0</v>
      </c>
      <c r="AA78" s="49">
        <f t="shared" si="56"/>
        <v>0</v>
      </c>
    </row>
    <row r="79" spans="2:27" x14ac:dyDescent="0.3">
      <c r="B79" s="13"/>
      <c r="C79" s="13"/>
      <c r="D79" s="13"/>
      <c r="E79" s="13"/>
      <c r="F79" s="13"/>
      <c r="G79" s="41"/>
      <c r="H79" s="41"/>
      <c r="I79" s="41"/>
      <c r="J79" s="41"/>
      <c r="K79" s="41"/>
      <c r="L79" s="41"/>
      <c r="M79" s="41"/>
      <c r="N79" s="41"/>
      <c r="O79" s="41"/>
      <c r="P79" s="41"/>
      <c r="Q79" s="41"/>
      <c r="R79" s="41"/>
      <c r="S79" s="41"/>
      <c r="T79" s="41"/>
      <c r="U79" s="41"/>
      <c r="V79" s="41"/>
      <c r="W79" s="41"/>
      <c r="X79" s="41"/>
      <c r="Y79" s="41"/>
      <c r="Z79" s="41"/>
      <c r="AA79" s="41"/>
    </row>
    <row r="80" spans="2:27" x14ac:dyDescent="0.3">
      <c r="B80" s="439"/>
      <c r="C80" s="440"/>
      <c r="D80" s="440"/>
      <c r="E80" s="440"/>
      <c r="F80" s="438"/>
      <c r="G80" s="381">
        <v>2010</v>
      </c>
      <c r="H80" s="381">
        <v>2011</v>
      </c>
      <c r="I80" s="381">
        <v>2012</v>
      </c>
      <c r="J80" s="381">
        <v>2013</v>
      </c>
      <c r="K80" s="381">
        <v>2014</v>
      </c>
      <c r="L80" s="381">
        <v>2015</v>
      </c>
      <c r="M80" s="381">
        <v>2016</v>
      </c>
      <c r="N80" s="381">
        <v>2017</v>
      </c>
      <c r="O80" s="381">
        <v>2018</v>
      </c>
      <c r="P80" s="381">
        <v>2019</v>
      </c>
      <c r="Q80" s="381">
        <v>2020</v>
      </c>
      <c r="R80" s="381">
        <v>2021</v>
      </c>
      <c r="S80" s="381">
        <v>2022</v>
      </c>
      <c r="T80" s="381">
        <v>2023</v>
      </c>
      <c r="U80" s="381">
        <v>2024</v>
      </c>
      <c r="V80" s="381">
        <v>2025</v>
      </c>
      <c r="W80" s="381">
        <v>2026</v>
      </c>
      <c r="X80" s="381">
        <v>2027</v>
      </c>
      <c r="Y80" s="381">
        <v>2028</v>
      </c>
      <c r="Z80" s="381">
        <v>2029</v>
      </c>
      <c r="AA80" s="381">
        <v>2030</v>
      </c>
    </row>
    <row r="81" spans="2:27" ht="28.8" x14ac:dyDescent="0.3">
      <c r="B81" s="84" t="s">
        <v>164</v>
      </c>
      <c r="C81" s="80" t="s">
        <v>279</v>
      </c>
      <c r="D81" s="389" t="s">
        <v>397</v>
      </c>
      <c r="E81" s="388" t="s">
        <v>247</v>
      </c>
      <c r="F81" s="388"/>
      <c r="G81" s="79" t="s">
        <v>197</v>
      </c>
      <c r="H81" s="79" t="s">
        <v>197</v>
      </c>
      <c r="I81" s="79" t="s">
        <v>197</v>
      </c>
      <c r="J81" s="79" t="s">
        <v>197</v>
      </c>
      <c r="K81" s="79" t="s">
        <v>197</v>
      </c>
      <c r="L81" s="79" t="s">
        <v>197</v>
      </c>
      <c r="M81" s="79" t="s">
        <v>197</v>
      </c>
      <c r="N81" s="79" t="s">
        <v>197</v>
      </c>
      <c r="O81" s="79" t="s">
        <v>197</v>
      </c>
      <c r="P81" s="79" t="s">
        <v>197</v>
      </c>
      <c r="Q81" s="79" t="s">
        <v>197</v>
      </c>
      <c r="R81" s="79" t="s">
        <v>197</v>
      </c>
      <c r="S81" s="79" t="s">
        <v>197</v>
      </c>
      <c r="T81" s="79" t="s">
        <v>197</v>
      </c>
      <c r="U81" s="79" t="s">
        <v>197</v>
      </c>
      <c r="V81" s="79" t="s">
        <v>197</v>
      </c>
      <c r="W81" s="79" t="s">
        <v>197</v>
      </c>
      <c r="X81" s="79" t="s">
        <v>197</v>
      </c>
      <c r="Y81" s="79" t="s">
        <v>197</v>
      </c>
      <c r="Z81" s="79" t="s">
        <v>197</v>
      </c>
      <c r="AA81" s="79" t="s">
        <v>197</v>
      </c>
    </row>
    <row r="82" spans="2:27" x14ac:dyDescent="0.3">
      <c r="B82" s="82" t="s">
        <v>0</v>
      </c>
      <c r="C82" s="82"/>
      <c r="D82" s="82"/>
      <c r="E82" s="82"/>
      <c r="F82" s="82"/>
      <c r="G82" s="83">
        <f t="shared" ref="G82:AA82" si="61">SUM(G84:G127)</f>
        <v>0</v>
      </c>
      <c r="H82" s="83">
        <f t="shared" si="61"/>
        <v>0</v>
      </c>
      <c r="I82" s="83">
        <f t="shared" si="61"/>
        <v>0</v>
      </c>
      <c r="J82" s="83">
        <f t="shared" si="61"/>
        <v>0</v>
      </c>
      <c r="K82" s="83">
        <f t="shared" si="61"/>
        <v>0</v>
      </c>
      <c r="L82" s="83">
        <f t="shared" si="61"/>
        <v>0</v>
      </c>
      <c r="M82" s="83">
        <f t="shared" si="61"/>
        <v>0</v>
      </c>
      <c r="N82" s="83">
        <f t="shared" si="61"/>
        <v>0</v>
      </c>
      <c r="O82" s="83">
        <f t="shared" si="61"/>
        <v>240900</v>
      </c>
      <c r="P82" s="83">
        <f t="shared" si="61"/>
        <v>543120</v>
      </c>
      <c r="Q82" s="83">
        <f t="shared" si="61"/>
        <v>2938542</v>
      </c>
      <c r="R82" s="83">
        <f t="shared" si="61"/>
        <v>5103138</v>
      </c>
      <c r="S82" s="83">
        <f t="shared" si="61"/>
        <v>5103138</v>
      </c>
      <c r="T82" s="83">
        <f t="shared" si="61"/>
        <v>5103138</v>
      </c>
      <c r="U82" s="83">
        <f t="shared" si="61"/>
        <v>5103138</v>
      </c>
      <c r="V82" s="83">
        <f t="shared" si="61"/>
        <v>11200098</v>
      </c>
      <c r="W82" s="83">
        <f t="shared" si="61"/>
        <v>11200098</v>
      </c>
      <c r="X82" s="83">
        <f t="shared" si="61"/>
        <v>11200098</v>
      </c>
      <c r="Y82" s="83">
        <f t="shared" si="61"/>
        <v>11200098</v>
      </c>
      <c r="Z82" s="83">
        <f t="shared" si="61"/>
        <v>33205611.600000001</v>
      </c>
      <c r="AA82" s="83">
        <f t="shared" si="61"/>
        <v>40564011.600000001</v>
      </c>
    </row>
    <row r="83" spans="2:27" x14ac:dyDescent="0.3">
      <c r="B83" s="57" t="s">
        <v>41</v>
      </c>
      <c r="C83" s="57"/>
      <c r="D83" s="57"/>
      <c r="E83" s="57"/>
      <c r="F83" s="57"/>
      <c r="G83" s="78"/>
      <c r="H83" s="78"/>
      <c r="I83" s="78"/>
      <c r="J83" s="78"/>
      <c r="K83" s="78"/>
      <c r="L83" s="78"/>
      <c r="M83" s="78"/>
      <c r="N83" s="78"/>
      <c r="O83" s="78"/>
      <c r="P83" s="78"/>
      <c r="Q83" s="78"/>
      <c r="R83" s="78"/>
      <c r="S83" s="78"/>
      <c r="T83" s="78"/>
      <c r="U83" s="78"/>
      <c r="V83" s="78"/>
      <c r="W83" s="78"/>
      <c r="X83" s="78"/>
      <c r="Y83" s="78"/>
      <c r="Z83" s="78"/>
      <c r="AA83" s="78"/>
    </row>
    <row r="84" spans="2:27" x14ac:dyDescent="0.3">
      <c r="B84" s="47" t="s">
        <v>407</v>
      </c>
      <c r="C84" s="110">
        <v>2018</v>
      </c>
      <c r="D84" s="426">
        <v>55</v>
      </c>
      <c r="E84" s="110">
        <v>0.5</v>
      </c>
      <c r="F84" s="110"/>
      <c r="G84" s="49">
        <f t="shared" ref="G84:V109" si="62">+IF($C84&lt;=G$52,$D84*8760*$E84,0)</f>
        <v>0</v>
      </c>
      <c r="H84" s="49">
        <f t="shared" si="62"/>
        <v>0</v>
      </c>
      <c r="I84" s="49">
        <f t="shared" si="62"/>
        <v>0</v>
      </c>
      <c r="J84" s="49">
        <f t="shared" si="62"/>
        <v>0</v>
      </c>
      <c r="K84" s="49">
        <f t="shared" si="62"/>
        <v>0</v>
      </c>
      <c r="L84" s="49">
        <f t="shared" si="62"/>
        <v>0</v>
      </c>
      <c r="M84" s="49">
        <f t="shared" si="62"/>
        <v>0</v>
      </c>
      <c r="N84" s="49">
        <f t="shared" si="62"/>
        <v>0</v>
      </c>
      <c r="O84" s="49">
        <f t="shared" si="62"/>
        <v>240900</v>
      </c>
      <c r="P84" s="49">
        <f t="shared" si="62"/>
        <v>240900</v>
      </c>
      <c r="Q84" s="49">
        <f t="shared" si="62"/>
        <v>240900</v>
      </c>
      <c r="R84" s="49">
        <f t="shared" si="62"/>
        <v>240900</v>
      </c>
      <c r="S84" s="49">
        <f t="shared" si="62"/>
        <v>240900</v>
      </c>
      <c r="T84" s="49">
        <f t="shared" si="62"/>
        <v>240900</v>
      </c>
      <c r="U84" s="49">
        <f t="shared" si="62"/>
        <v>240900</v>
      </c>
      <c r="V84" s="49">
        <f t="shared" si="62"/>
        <v>240900</v>
      </c>
      <c r="W84" s="49">
        <f t="shared" ref="W84:AA127" si="63">+IF($C84&lt;=W$52,$D84*8760*$E84,0)</f>
        <v>240900</v>
      </c>
      <c r="X84" s="49">
        <f t="shared" si="63"/>
        <v>240900</v>
      </c>
      <c r="Y84" s="49">
        <f t="shared" si="63"/>
        <v>240900</v>
      </c>
      <c r="Z84" s="49">
        <f t="shared" si="63"/>
        <v>240900</v>
      </c>
      <c r="AA84" s="49">
        <f t="shared" si="63"/>
        <v>240900</v>
      </c>
    </row>
    <row r="85" spans="2:27" x14ac:dyDescent="0.3">
      <c r="B85" s="47" t="s">
        <v>408</v>
      </c>
      <c r="C85" s="110">
        <v>2019</v>
      </c>
      <c r="D85" s="426">
        <v>69</v>
      </c>
      <c r="E85" s="110">
        <v>0.5</v>
      </c>
      <c r="F85" s="110"/>
      <c r="G85" s="49">
        <f t="shared" si="62"/>
        <v>0</v>
      </c>
      <c r="H85" s="49">
        <f t="shared" si="62"/>
        <v>0</v>
      </c>
      <c r="I85" s="49">
        <f t="shared" si="62"/>
        <v>0</v>
      </c>
      <c r="J85" s="49">
        <f t="shared" si="62"/>
        <v>0</v>
      </c>
      <c r="K85" s="49">
        <f t="shared" si="62"/>
        <v>0</v>
      </c>
      <c r="L85" s="49">
        <f t="shared" si="62"/>
        <v>0</v>
      </c>
      <c r="M85" s="49">
        <f t="shared" si="62"/>
        <v>0</v>
      </c>
      <c r="N85" s="49">
        <f t="shared" si="62"/>
        <v>0</v>
      </c>
      <c r="O85" s="49">
        <f t="shared" si="62"/>
        <v>0</v>
      </c>
      <c r="P85" s="49">
        <f t="shared" si="62"/>
        <v>302220</v>
      </c>
      <c r="Q85" s="49">
        <f t="shared" si="62"/>
        <v>302220</v>
      </c>
      <c r="R85" s="49">
        <f t="shared" si="62"/>
        <v>302220</v>
      </c>
      <c r="S85" s="49">
        <f t="shared" si="62"/>
        <v>302220</v>
      </c>
      <c r="T85" s="49">
        <f t="shared" si="62"/>
        <v>302220</v>
      </c>
      <c r="U85" s="49">
        <f t="shared" si="62"/>
        <v>302220</v>
      </c>
      <c r="V85" s="49">
        <f t="shared" si="62"/>
        <v>302220</v>
      </c>
      <c r="W85" s="49">
        <f t="shared" si="63"/>
        <v>302220</v>
      </c>
      <c r="X85" s="49">
        <f t="shared" si="63"/>
        <v>302220</v>
      </c>
      <c r="Y85" s="49">
        <f t="shared" si="63"/>
        <v>302220</v>
      </c>
      <c r="Z85" s="49">
        <f t="shared" si="63"/>
        <v>302220</v>
      </c>
      <c r="AA85" s="49">
        <f t="shared" si="63"/>
        <v>302220</v>
      </c>
    </row>
    <row r="86" spans="2:27" x14ac:dyDescent="0.3">
      <c r="B86" s="57" t="s">
        <v>61</v>
      </c>
      <c r="C86" s="57"/>
      <c r="D86" s="432"/>
      <c r="E86" s="57"/>
      <c r="F86" s="57"/>
      <c r="G86" s="78"/>
      <c r="H86" s="78"/>
      <c r="I86" s="78"/>
      <c r="J86" s="78"/>
      <c r="K86" s="78"/>
      <c r="L86" s="78"/>
      <c r="M86" s="78"/>
      <c r="N86" s="78"/>
      <c r="O86" s="78"/>
      <c r="P86" s="78"/>
      <c r="Q86" s="78"/>
      <c r="R86" s="78"/>
      <c r="S86" s="78"/>
      <c r="T86" s="78"/>
      <c r="U86" s="78"/>
      <c r="V86" s="78"/>
      <c r="W86" s="78"/>
      <c r="X86" s="78"/>
      <c r="Y86" s="78"/>
      <c r="Z86" s="78"/>
      <c r="AA86" s="78"/>
    </row>
    <row r="87" spans="2:27" x14ac:dyDescent="0.3">
      <c r="B87" s="47" t="s">
        <v>61</v>
      </c>
      <c r="C87" s="110">
        <v>2021</v>
      </c>
      <c r="D87" s="426">
        <v>198.6</v>
      </c>
      <c r="E87" s="110">
        <v>0.5</v>
      </c>
      <c r="F87" s="110"/>
      <c r="G87" s="49">
        <f t="shared" si="62"/>
        <v>0</v>
      </c>
      <c r="H87" s="49">
        <f t="shared" si="62"/>
        <v>0</v>
      </c>
      <c r="I87" s="49">
        <f t="shared" si="62"/>
        <v>0</v>
      </c>
      <c r="J87" s="49">
        <f t="shared" si="62"/>
        <v>0</v>
      </c>
      <c r="K87" s="49">
        <f t="shared" si="62"/>
        <v>0</v>
      </c>
      <c r="L87" s="49">
        <f t="shared" si="62"/>
        <v>0</v>
      </c>
      <c r="M87" s="49">
        <f t="shared" si="62"/>
        <v>0</v>
      </c>
      <c r="N87" s="49">
        <f t="shared" si="62"/>
        <v>0</v>
      </c>
      <c r="O87" s="49">
        <f t="shared" si="62"/>
        <v>0</v>
      </c>
      <c r="P87" s="49">
        <f t="shared" si="62"/>
        <v>0</v>
      </c>
      <c r="Q87" s="49">
        <f t="shared" si="62"/>
        <v>0</v>
      </c>
      <c r="R87" s="49">
        <f t="shared" si="62"/>
        <v>869868</v>
      </c>
      <c r="S87" s="49">
        <f t="shared" si="62"/>
        <v>869868</v>
      </c>
      <c r="T87" s="49">
        <f t="shared" si="62"/>
        <v>869868</v>
      </c>
      <c r="U87" s="49">
        <f t="shared" si="62"/>
        <v>869868</v>
      </c>
      <c r="V87" s="49">
        <f t="shared" si="62"/>
        <v>869868</v>
      </c>
      <c r="W87" s="49">
        <f t="shared" si="63"/>
        <v>869868</v>
      </c>
      <c r="X87" s="49">
        <f t="shared" si="63"/>
        <v>869868</v>
      </c>
      <c r="Y87" s="49">
        <f t="shared" si="63"/>
        <v>869868</v>
      </c>
      <c r="Z87" s="49">
        <f t="shared" si="63"/>
        <v>869868</v>
      </c>
      <c r="AA87" s="49">
        <f t="shared" si="63"/>
        <v>869868</v>
      </c>
    </row>
    <row r="88" spans="2:27" x14ac:dyDescent="0.3">
      <c r="B88" s="57" t="s">
        <v>62</v>
      </c>
      <c r="C88" s="57"/>
      <c r="D88" s="432"/>
      <c r="E88" s="57"/>
      <c r="F88" s="57"/>
      <c r="G88" s="78"/>
      <c r="H88" s="78"/>
      <c r="I88" s="78"/>
      <c r="J88" s="78"/>
      <c r="K88" s="78"/>
      <c r="L88" s="78"/>
      <c r="M88" s="78"/>
      <c r="N88" s="78"/>
      <c r="O88" s="78"/>
      <c r="P88" s="78"/>
      <c r="Q88" s="78"/>
      <c r="R88" s="78"/>
      <c r="S88" s="78"/>
      <c r="T88" s="78"/>
      <c r="U88" s="78"/>
      <c r="V88" s="78"/>
      <c r="W88" s="78"/>
      <c r="X88" s="78"/>
      <c r="Y88" s="78"/>
      <c r="Z88" s="78"/>
      <c r="AA88" s="78"/>
    </row>
    <row r="89" spans="2:27" x14ac:dyDescent="0.3">
      <c r="B89" s="47" t="s">
        <v>62</v>
      </c>
      <c r="C89" s="110">
        <v>2021</v>
      </c>
      <c r="D89" s="426">
        <v>91.6</v>
      </c>
      <c r="E89" s="110">
        <v>0.5</v>
      </c>
      <c r="F89" s="110"/>
      <c r="G89" s="49">
        <f t="shared" si="62"/>
        <v>0</v>
      </c>
      <c r="H89" s="49">
        <f t="shared" si="62"/>
        <v>0</v>
      </c>
      <c r="I89" s="49">
        <f t="shared" si="62"/>
        <v>0</v>
      </c>
      <c r="J89" s="49">
        <f t="shared" si="62"/>
        <v>0</v>
      </c>
      <c r="K89" s="49">
        <f t="shared" si="62"/>
        <v>0</v>
      </c>
      <c r="L89" s="49">
        <f t="shared" si="62"/>
        <v>0</v>
      </c>
      <c r="M89" s="49">
        <f t="shared" si="62"/>
        <v>0</v>
      </c>
      <c r="N89" s="49">
        <f t="shared" si="62"/>
        <v>0</v>
      </c>
      <c r="O89" s="49">
        <f t="shared" si="62"/>
        <v>0</v>
      </c>
      <c r="P89" s="49">
        <f t="shared" si="62"/>
        <v>0</v>
      </c>
      <c r="Q89" s="49">
        <f t="shared" si="62"/>
        <v>0</v>
      </c>
      <c r="R89" s="49">
        <f t="shared" si="62"/>
        <v>401208</v>
      </c>
      <c r="S89" s="49">
        <f t="shared" si="62"/>
        <v>401208</v>
      </c>
      <c r="T89" s="49">
        <f t="shared" si="62"/>
        <v>401208</v>
      </c>
      <c r="U89" s="49">
        <f t="shared" si="62"/>
        <v>401208</v>
      </c>
      <c r="V89" s="49">
        <f t="shared" si="62"/>
        <v>401208</v>
      </c>
      <c r="W89" s="49">
        <f t="shared" si="63"/>
        <v>401208</v>
      </c>
      <c r="X89" s="49">
        <f t="shared" si="63"/>
        <v>401208</v>
      </c>
      <c r="Y89" s="49">
        <f t="shared" si="63"/>
        <v>401208</v>
      </c>
      <c r="Z89" s="49">
        <f t="shared" si="63"/>
        <v>401208</v>
      </c>
      <c r="AA89" s="49">
        <f t="shared" si="63"/>
        <v>401208</v>
      </c>
    </row>
    <row r="90" spans="2:27" x14ac:dyDescent="0.3">
      <c r="B90" s="57" t="s">
        <v>63</v>
      </c>
      <c r="C90" s="57"/>
      <c r="D90" s="432"/>
      <c r="E90" s="57"/>
      <c r="F90" s="57"/>
      <c r="G90" s="78"/>
      <c r="H90" s="78"/>
      <c r="I90" s="78"/>
      <c r="J90" s="78"/>
      <c r="K90" s="78"/>
      <c r="L90" s="78"/>
      <c r="M90" s="78"/>
      <c r="N90" s="78"/>
      <c r="O90" s="78"/>
      <c r="P90" s="78"/>
      <c r="Q90" s="78"/>
      <c r="R90" s="78"/>
      <c r="S90" s="78"/>
      <c r="T90" s="78"/>
      <c r="U90" s="78"/>
      <c r="V90" s="78"/>
      <c r="W90" s="78"/>
      <c r="X90" s="78"/>
      <c r="Y90" s="78"/>
      <c r="Z90" s="78"/>
      <c r="AA90" s="78"/>
    </row>
    <row r="91" spans="2:27" x14ac:dyDescent="0.3">
      <c r="B91" s="47" t="s">
        <v>63</v>
      </c>
      <c r="C91" s="110">
        <v>2021</v>
      </c>
      <c r="D91" s="426">
        <v>85.8</v>
      </c>
      <c r="E91" s="110">
        <v>0.5</v>
      </c>
      <c r="F91" s="110"/>
      <c r="G91" s="49">
        <f t="shared" si="62"/>
        <v>0</v>
      </c>
      <c r="H91" s="49">
        <f t="shared" si="62"/>
        <v>0</v>
      </c>
      <c r="I91" s="49">
        <f t="shared" si="62"/>
        <v>0</v>
      </c>
      <c r="J91" s="49">
        <f t="shared" si="62"/>
        <v>0</v>
      </c>
      <c r="K91" s="49">
        <f t="shared" si="62"/>
        <v>0</v>
      </c>
      <c r="L91" s="49">
        <f t="shared" si="62"/>
        <v>0</v>
      </c>
      <c r="M91" s="49">
        <f t="shared" si="62"/>
        <v>0</v>
      </c>
      <c r="N91" s="49">
        <f t="shared" si="62"/>
        <v>0</v>
      </c>
      <c r="O91" s="49">
        <f t="shared" si="62"/>
        <v>0</v>
      </c>
      <c r="P91" s="49">
        <f t="shared" si="62"/>
        <v>0</v>
      </c>
      <c r="Q91" s="49">
        <f t="shared" si="62"/>
        <v>0</v>
      </c>
      <c r="R91" s="49">
        <f t="shared" si="62"/>
        <v>375804</v>
      </c>
      <c r="S91" s="49">
        <f t="shared" si="62"/>
        <v>375804</v>
      </c>
      <c r="T91" s="49">
        <f t="shared" si="62"/>
        <v>375804</v>
      </c>
      <c r="U91" s="49">
        <f t="shared" si="62"/>
        <v>375804</v>
      </c>
      <c r="V91" s="49">
        <f t="shared" si="62"/>
        <v>375804</v>
      </c>
      <c r="W91" s="49">
        <f t="shared" si="63"/>
        <v>375804</v>
      </c>
      <c r="X91" s="49">
        <f t="shared" si="63"/>
        <v>375804</v>
      </c>
      <c r="Y91" s="49">
        <f t="shared" si="63"/>
        <v>375804</v>
      </c>
      <c r="Z91" s="49">
        <f t="shared" si="63"/>
        <v>375804</v>
      </c>
      <c r="AA91" s="49">
        <f t="shared" si="63"/>
        <v>375804</v>
      </c>
    </row>
    <row r="92" spans="2:27" x14ac:dyDescent="0.3">
      <c r="B92" s="57" t="s">
        <v>64</v>
      </c>
      <c r="C92" s="57"/>
      <c r="D92" s="432"/>
      <c r="E92" s="57"/>
      <c r="F92" s="57"/>
      <c r="G92" s="78"/>
      <c r="H92" s="78"/>
      <c r="I92" s="78"/>
      <c r="J92" s="78"/>
      <c r="K92" s="78"/>
      <c r="L92" s="78"/>
      <c r="M92" s="78"/>
      <c r="N92" s="78"/>
      <c r="O92" s="78"/>
      <c r="P92" s="78"/>
      <c r="Q92" s="78"/>
      <c r="R92" s="78"/>
      <c r="S92" s="78"/>
      <c r="T92" s="78"/>
      <c r="U92" s="78"/>
      <c r="V92" s="78"/>
      <c r="W92" s="78"/>
      <c r="X92" s="78"/>
      <c r="Y92" s="78"/>
      <c r="Z92" s="78"/>
      <c r="AA92" s="78"/>
    </row>
    <row r="93" spans="2:27" x14ac:dyDescent="0.3">
      <c r="B93" s="47" t="s">
        <v>64</v>
      </c>
      <c r="C93" s="110">
        <v>2021</v>
      </c>
      <c r="D93" s="426">
        <v>118.2</v>
      </c>
      <c r="E93" s="110">
        <v>0.5</v>
      </c>
      <c r="F93" s="110"/>
      <c r="G93" s="49">
        <f t="shared" si="62"/>
        <v>0</v>
      </c>
      <c r="H93" s="49">
        <f t="shared" si="62"/>
        <v>0</v>
      </c>
      <c r="I93" s="49">
        <f t="shared" si="62"/>
        <v>0</v>
      </c>
      <c r="J93" s="49">
        <f t="shared" si="62"/>
        <v>0</v>
      </c>
      <c r="K93" s="49">
        <f t="shared" si="62"/>
        <v>0</v>
      </c>
      <c r="L93" s="49">
        <f t="shared" si="62"/>
        <v>0</v>
      </c>
      <c r="M93" s="49">
        <f t="shared" si="62"/>
        <v>0</v>
      </c>
      <c r="N93" s="49">
        <f t="shared" si="62"/>
        <v>0</v>
      </c>
      <c r="O93" s="49">
        <f t="shared" si="62"/>
        <v>0</v>
      </c>
      <c r="P93" s="49">
        <f t="shared" si="62"/>
        <v>0</v>
      </c>
      <c r="Q93" s="49">
        <f t="shared" si="62"/>
        <v>0</v>
      </c>
      <c r="R93" s="49">
        <f t="shared" si="62"/>
        <v>517716</v>
      </c>
      <c r="S93" s="49">
        <f t="shared" si="62"/>
        <v>517716</v>
      </c>
      <c r="T93" s="49">
        <f t="shared" si="62"/>
        <v>517716</v>
      </c>
      <c r="U93" s="49">
        <f t="shared" si="62"/>
        <v>517716</v>
      </c>
      <c r="V93" s="49">
        <f t="shared" si="62"/>
        <v>517716</v>
      </c>
      <c r="W93" s="49">
        <f t="shared" si="63"/>
        <v>517716</v>
      </c>
      <c r="X93" s="49">
        <f t="shared" si="63"/>
        <v>517716</v>
      </c>
      <c r="Y93" s="49">
        <f t="shared" si="63"/>
        <v>517716</v>
      </c>
      <c r="Z93" s="49">
        <f t="shared" si="63"/>
        <v>517716</v>
      </c>
      <c r="AA93" s="49">
        <f t="shared" si="63"/>
        <v>517716</v>
      </c>
    </row>
    <row r="94" spans="2:27" x14ac:dyDescent="0.3">
      <c r="B94" s="57" t="s">
        <v>250</v>
      </c>
      <c r="C94" s="57"/>
      <c r="D94" s="432"/>
      <c r="E94" s="57"/>
      <c r="F94" s="57"/>
      <c r="G94" s="78"/>
      <c r="H94" s="78"/>
      <c r="I94" s="78"/>
      <c r="J94" s="78"/>
      <c r="K94" s="78"/>
      <c r="L94" s="78"/>
      <c r="M94" s="78"/>
      <c r="N94" s="78"/>
      <c r="O94" s="78"/>
      <c r="P94" s="78"/>
      <c r="Q94" s="78"/>
      <c r="R94" s="78"/>
      <c r="S94" s="78"/>
      <c r="T94" s="78"/>
      <c r="U94" s="78"/>
      <c r="V94" s="78"/>
      <c r="W94" s="78"/>
      <c r="X94" s="78"/>
      <c r="Y94" s="78"/>
      <c r="Z94" s="78"/>
      <c r="AA94" s="78"/>
    </row>
    <row r="95" spans="2:27" x14ac:dyDescent="0.3">
      <c r="B95" s="47" t="str">
        <f>+B94</f>
        <v>Ivirizu</v>
      </c>
      <c r="C95" s="110">
        <v>2020</v>
      </c>
      <c r="D95" s="426">
        <v>253.9</v>
      </c>
      <c r="E95" s="110">
        <v>0.5</v>
      </c>
      <c r="F95" s="110"/>
      <c r="G95" s="49">
        <f t="shared" si="62"/>
        <v>0</v>
      </c>
      <c r="H95" s="49">
        <f t="shared" si="62"/>
        <v>0</v>
      </c>
      <c r="I95" s="49">
        <f t="shared" si="62"/>
        <v>0</v>
      </c>
      <c r="J95" s="49">
        <f t="shared" si="62"/>
        <v>0</v>
      </c>
      <c r="K95" s="49">
        <f t="shared" si="62"/>
        <v>0</v>
      </c>
      <c r="L95" s="49">
        <f t="shared" si="62"/>
        <v>0</v>
      </c>
      <c r="M95" s="49">
        <f t="shared" si="62"/>
        <v>0</v>
      </c>
      <c r="N95" s="49">
        <f t="shared" si="62"/>
        <v>0</v>
      </c>
      <c r="O95" s="49">
        <f t="shared" si="62"/>
        <v>0</v>
      </c>
      <c r="P95" s="49">
        <f t="shared" si="62"/>
        <v>0</v>
      </c>
      <c r="Q95" s="49">
        <f t="shared" si="62"/>
        <v>1112082</v>
      </c>
      <c r="R95" s="49">
        <f t="shared" si="62"/>
        <v>1112082</v>
      </c>
      <c r="S95" s="49">
        <f t="shared" si="62"/>
        <v>1112082</v>
      </c>
      <c r="T95" s="49">
        <f t="shared" si="62"/>
        <v>1112082</v>
      </c>
      <c r="U95" s="49">
        <f t="shared" si="62"/>
        <v>1112082</v>
      </c>
      <c r="V95" s="49">
        <f t="shared" si="62"/>
        <v>1112082</v>
      </c>
      <c r="W95" s="49">
        <f t="shared" si="63"/>
        <v>1112082</v>
      </c>
      <c r="X95" s="49">
        <f t="shared" si="63"/>
        <v>1112082</v>
      </c>
      <c r="Y95" s="49">
        <f t="shared" si="63"/>
        <v>1112082</v>
      </c>
      <c r="Z95" s="49">
        <f t="shared" si="63"/>
        <v>1112082</v>
      </c>
      <c r="AA95" s="49">
        <f t="shared" si="63"/>
        <v>1112082</v>
      </c>
    </row>
    <row r="96" spans="2:27" x14ac:dyDescent="0.3">
      <c r="B96" s="57" t="s">
        <v>251</v>
      </c>
      <c r="C96" s="57"/>
      <c r="D96" s="432"/>
      <c r="E96" s="57"/>
      <c r="F96" s="57"/>
      <c r="G96" s="78"/>
      <c r="H96" s="78"/>
      <c r="I96" s="78"/>
      <c r="J96" s="78"/>
      <c r="K96" s="78"/>
      <c r="L96" s="78"/>
      <c r="M96" s="78"/>
      <c r="N96" s="78"/>
      <c r="O96" s="78"/>
      <c r="P96" s="78"/>
      <c r="Q96" s="78"/>
      <c r="R96" s="78"/>
      <c r="S96" s="78"/>
      <c r="T96" s="78"/>
      <c r="U96" s="78"/>
      <c r="V96" s="78"/>
      <c r="W96" s="78"/>
      <c r="X96" s="78"/>
      <c r="Y96" s="78"/>
      <c r="Z96" s="78"/>
      <c r="AA96" s="78"/>
    </row>
    <row r="97" spans="2:27" x14ac:dyDescent="0.3">
      <c r="B97" s="47" t="str">
        <f>+B96</f>
        <v>Banda Azul</v>
      </c>
      <c r="C97" s="110">
        <v>2020</v>
      </c>
      <c r="D97" s="426">
        <v>93</v>
      </c>
      <c r="E97" s="110">
        <v>0.5</v>
      </c>
      <c r="F97" s="110"/>
      <c r="G97" s="49">
        <f t="shared" si="62"/>
        <v>0</v>
      </c>
      <c r="H97" s="49">
        <f t="shared" si="62"/>
        <v>0</v>
      </c>
      <c r="I97" s="49">
        <f t="shared" si="62"/>
        <v>0</v>
      </c>
      <c r="J97" s="49">
        <f t="shared" si="62"/>
        <v>0</v>
      </c>
      <c r="K97" s="49">
        <f t="shared" si="62"/>
        <v>0</v>
      </c>
      <c r="L97" s="49">
        <f t="shared" si="62"/>
        <v>0</v>
      </c>
      <c r="M97" s="49">
        <f t="shared" si="62"/>
        <v>0</v>
      </c>
      <c r="N97" s="49">
        <f t="shared" si="62"/>
        <v>0</v>
      </c>
      <c r="O97" s="49">
        <f t="shared" si="62"/>
        <v>0</v>
      </c>
      <c r="P97" s="49">
        <f t="shared" si="62"/>
        <v>0</v>
      </c>
      <c r="Q97" s="49">
        <f t="shared" si="62"/>
        <v>407340</v>
      </c>
      <c r="R97" s="49">
        <f t="shared" si="62"/>
        <v>407340</v>
      </c>
      <c r="S97" s="49">
        <f t="shared" si="62"/>
        <v>407340</v>
      </c>
      <c r="T97" s="49">
        <f t="shared" si="62"/>
        <v>407340</v>
      </c>
      <c r="U97" s="49">
        <f t="shared" si="62"/>
        <v>407340</v>
      </c>
      <c r="V97" s="49">
        <f t="shared" si="62"/>
        <v>407340</v>
      </c>
      <c r="W97" s="49">
        <f t="shared" si="63"/>
        <v>407340</v>
      </c>
      <c r="X97" s="49">
        <f t="shared" si="63"/>
        <v>407340</v>
      </c>
      <c r="Y97" s="49">
        <f t="shared" si="63"/>
        <v>407340</v>
      </c>
      <c r="Z97" s="49">
        <f t="shared" si="63"/>
        <v>407340</v>
      </c>
      <c r="AA97" s="49">
        <f t="shared" si="63"/>
        <v>407340</v>
      </c>
    </row>
    <row r="98" spans="2:27" x14ac:dyDescent="0.3">
      <c r="B98" s="57" t="s">
        <v>469</v>
      </c>
      <c r="C98" s="57"/>
      <c r="D98" s="432"/>
      <c r="E98" s="57"/>
      <c r="F98" s="57"/>
      <c r="G98" s="78"/>
      <c r="H98" s="78"/>
      <c r="I98" s="78"/>
      <c r="J98" s="78"/>
      <c r="K98" s="78"/>
      <c r="L98" s="78"/>
      <c r="M98" s="78"/>
      <c r="N98" s="78"/>
      <c r="O98" s="78"/>
      <c r="P98" s="78"/>
      <c r="Q98" s="78"/>
      <c r="R98" s="78"/>
      <c r="S98" s="78"/>
      <c r="T98" s="78"/>
      <c r="U98" s="78"/>
      <c r="V98" s="78"/>
      <c r="W98" s="78"/>
      <c r="X98" s="78"/>
      <c r="Y98" s="78"/>
      <c r="Z98" s="78"/>
      <c r="AA98" s="78"/>
    </row>
    <row r="99" spans="2:27" x14ac:dyDescent="0.3">
      <c r="B99" s="47" t="str">
        <f>+B98</f>
        <v>Pequenas centrales</v>
      </c>
      <c r="C99" s="110">
        <v>2020</v>
      </c>
      <c r="D99" s="426">
        <v>200</v>
      </c>
      <c r="E99" s="110">
        <v>0.5</v>
      </c>
      <c r="F99" s="110"/>
      <c r="G99" s="49">
        <f t="shared" si="62"/>
        <v>0</v>
      </c>
      <c r="H99" s="49">
        <f t="shared" si="62"/>
        <v>0</v>
      </c>
      <c r="I99" s="49">
        <f t="shared" si="62"/>
        <v>0</v>
      </c>
      <c r="J99" s="49">
        <f t="shared" si="62"/>
        <v>0</v>
      </c>
      <c r="K99" s="49">
        <f t="shared" si="62"/>
        <v>0</v>
      </c>
      <c r="L99" s="49">
        <f t="shared" si="62"/>
        <v>0</v>
      </c>
      <c r="M99" s="49">
        <f t="shared" si="62"/>
        <v>0</v>
      </c>
      <c r="N99" s="49">
        <f t="shared" si="62"/>
        <v>0</v>
      </c>
      <c r="O99" s="49">
        <f t="shared" si="62"/>
        <v>0</v>
      </c>
      <c r="P99" s="49">
        <f t="shared" si="62"/>
        <v>0</v>
      </c>
      <c r="Q99" s="49">
        <f t="shared" si="62"/>
        <v>876000</v>
      </c>
      <c r="R99" s="49">
        <f t="shared" si="62"/>
        <v>876000</v>
      </c>
      <c r="S99" s="49">
        <f t="shared" si="62"/>
        <v>876000</v>
      </c>
      <c r="T99" s="49">
        <f t="shared" si="62"/>
        <v>876000</v>
      </c>
      <c r="U99" s="49">
        <f t="shared" si="62"/>
        <v>876000</v>
      </c>
      <c r="V99" s="49">
        <f t="shared" si="62"/>
        <v>876000</v>
      </c>
      <c r="W99" s="49">
        <f t="shared" si="63"/>
        <v>876000</v>
      </c>
      <c r="X99" s="49">
        <f t="shared" si="63"/>
        <v>876000</v>
      </c>
      <c r="Y99" s="49">
        <f t="shared" si="63"/>
        <v>876000</v>
      </c>
      <c r="Z99" s="49">
        <f t="shared" si="63"/>
        <v>876000</v>
      </c>
      <c r="AA99" s="49">
        <f t="shared" si="63"/>
        <v>876000</v>
      </c>
    </row>
    <row r="100" spans="2:27" x14ac:dyDescent="0.3">
      <c r="B100" s="57" t="s">
        <v>252</v>
      </c>
      <c r="C100" s="57"/>
      <c r="D100" s="432"/>
      <c r="E100" s="57"/>
      <c r="F100" s="57"/>
      <c r="G100" s="78"/>
      <c r="H100" s="78"/>
      <c r="I100" s="78"/>
      <c r="J100" s="78"/>
      <c r="K100" s="78"/>
      <c r="L100" s="78"/>
      <c r="M100" s="78"/>
      <c r="N100" s="78"/>
      <c r="O100" s="78"/>
      <c r="P100" s="78"/>
      <c r="Q100" s="78"/>
      <c r="R100" s="78"/>
      <c r="S100" s="78"/>
      <c r="T100" s="78"/>
      <c r="U100" s="78"/>
      <c r="V100" s="78"/>
      <c r="W100" s="78"/>
      <c r="X100" s="78"/>
      <c r="Y100" s="78"/>
      <c r="Z100" s="78"/>
      <c r="AA100" s="78"/>
    </row>
    <row r="101" spans="2:27" x14ac:dyDescent="0.3">
      <c r="B101" s="47" t="str">
        <f>+B100</f>
        <v>Carrizal</v>
      </c>
      <c r="C101" s="110">
        <v>2025</v>
      </c>
      <c r="D101" s="426">
        <v>347</v>
      </c>
      <c r="E101" s="110">
        <v>0.5</v>
      </c>
      <c r="F101" s="110"/>
      <c r="G101" s="49">
        <f t="shared" si="62"/>
        <v>0</v>
      </c>
      <c r="H101" s="49">
        <f t="shared" si="62"/>
        <v>0</v>
      </c>
      <c r="I101" s="49">
        <f t="shared" si="62"/>
        <v>0</v>
      </c>
      <c r="J101" s="49">
        <f t="shared" si="62"/>
        <v>0</v>
      </c>
      <c r="K101" s="49">
        <f t="shared" si="62"/>
        <v>0</v>
      </c>
      <c r="L101" s="49">
        <f t="shared" si="62"/>
        <v>0</v>
      </c>
      <c r="M101" s="49">
        <f t="shared" si="62"/>
        <v>0</v>
      </c>
      <c r="N101" s="49">
        <f t="shared" si="62"/>
        <v>0</v>
      </c>
      <c r="O101" s="49">
        <f t="shared" si="62"/>
        <v>0</v>
      </c>
      <c r="P101" s="49">
        <f t="shared" si="62"/>
        <v>0</v>
      </c>
      <c r="Q101" s="49">
        <f t="shared" si="62"/>
        <v>0</v>
      </c>
      <c r="R101" s="49">
        <f t="shared" si="62"/>
        <v>0</v>
      </c>
      <c r="S101" s="49">
        <f t="shared" si="62"/>
        <v>0</v>
      </c>
      <c r="T101" s="49">
        <f t="shared" si="62"/>
        <v>0</v>
      </c>
      <c r="U101" s="49">
        <f t="shared" si="62"/>
        <v>0</v>
      </c>
      <c r="V101" s="49">
        <f t="shared" si="62"/>
        <v>1519860</v>
      </c>
      <c r="W101" s="49">
        <f t="shared" si="63"/>
        <v>1519860</v>
      </c>
      <c r="X101" s="49">
        <f t="shared" si="63"/>
        <v>1519860</v>
      </c>
      <c r="Y101" s="49">
        <f t="shared" si="63"/>
        <v>1519860</v>
      </c>
      <c r="Z101" s="49">
        <f t="shared" si="63"/>
        <v>1519860</v>
      </c>
      <c r="AA101" s="49">
        <f t="shared" si="63"/>
        <v>1519860</v>
      </c>
    </row>
    <row r="102" spans="2:27" x14ac:dyDescent="0.3">
      <c r="B102" s="57" t="s">
        <v>256</v>
      </c>
      <c r="C102" s="57"/>
      <c r="D102" s="432"/>
      <c r="E102" s="57"/>
      <c r="F102" s="57"/>
      <c r="G102" s="78"/>
      <c r="H102" s="78"/>
      <c r="I102" s="78"/>
      <c r="J102" s="78"/>
      <c r="K102" s="78"/>
      <c r="L102" s="78"/>
      <c r="M102" s="78"/>
      <c r="N102" s="78"/>
      <c r="O102" s="78"/>
      <c r="P102" s="78"/>
      <c r="Q102" s="78"/>
      <c r="R102" s="78"/>
      <c r="S102" s="78"/>
      <c r="T102" s="78"/>
      <c r="U102" s="78"/>
      <c r="V102" s="78"/>
      <c r="W102" s="78"/>
      <c r="X102" s="78"/>
      <c r="Y102" s="78"/>
      <c r="Z102" s="78"/>
      <c r="AA102" s="78"/>
    </row>
    <row r="103" spans="2:27" x14ac:dyDescent="0.3">
      <c r="B103" s="47" t="str">
        <f>+B102</f>
        <v>Cambari</v>
      </c>
      <c r="C103" s="110">
        <v>2025</v>
      </c>
      <c r="D103" s="426">
        <v>93</v>
      </c>
      <c r="E103" s="110">
        <v>0.5</v>
      </c>
      <c r="F103" s="110"/>
      <c r="G103" s="49">
        <f t="shared" si="62"/>
        <v>0</v>
      </c>
      <c r="H103" s="49">
        <f t="shared" si="62"/>
        <v>0</v>
      </c>
      <c r="I103" s="49">
        <f t="shared" si="62"/>
        <v>0</v>
      </c>
      <c r="J103" s="49">
        <f t="shared" si="62"/>
        <v>0</v>
      </c>
      <c r="K103" s="49">
        <f t="shared" si="62"/>
        <v>0</v>
      </c>
      <c r="L103" s="49">
        <f t="shared" si="62"/>
        <v>0</v>
      </c>
      <c r="M103" s="49">
        <f t="shared" si="62"/>
        <v>0</v>
      </c>
      <c r="N103" s="49">
        <f t="shared" si="62"/>
        <v>0</v>
      </c>
      <c r="O103" s="49">
        <f t="shared" si="62"/>
        <v>0</v>
      </c>
      <c r="P103" s="49">
        <f t="shared" si="62"/>
        <v>0</v>
      </c>
      <c r="Q103" s="49">
        <f t="shared" si="62"/>
        <v>0</v>
      </c>
      <c r="R103" s="49">
        <f t="shared" si="62"/>
        <v>0</v>
      </c>
      <c r="S103" s="49">
        <f t="shared" si="62"/>
        <v>0</v>
      </c>
      <c r="T103" s="49">
        <f t="shared" si="62"/>
        <v>0</v>
      </c>
      <c r="U103" s="49">
        <f t="shared" si="62"/>
        <v>0</v>
      </c>
      <c r="V103" s="49">
        <f t="shared" si="62"/>
        <v>407340</v>
      </c>
      <c r="W103" s="49">
        <f t="shared" si="63"/>
        <v>407340</v>
      </c>
      <c r="X103" s="49">
        <f t="shared" si="63"/>
        <v>407340</v>
      </c>
      <c r="Y103" s="49">
        <f t="shared" si="63"/>
        <v>407340</v>
      </c>
      <c r="Z103" s="49">
        <f t="shared" si="63"/>
        <v>407340</v>
      </c>
      <c r="AA103" s="49">
        <f t="shared" si="63"/>
        <v>407340</v>
      </c>
    </row>
    <row r="104" spans="2:27" x14ac:dyDescent="0.3">
      <c r="B104" s="57" t="s">
        <v>257</v>
      </c>
      <c r="C104" s="57"/>
      <c r="D104" s="432"/>
      <c r="E104" s="57"/>
      <c r="F104" s="57"/>
      <c r="G104" s="78"/>
      <c r="H104" s="78"/>
      <c r="I104" s="78"/>
      <c r="J104" s="78"/>
      <c r="K104" s="78"/>
      <c r="L104" s="78"/>
      <c r="M104" s="78"/>
      <c r="N104" s="78"/>
      <c r="O104" s="78"/>
      <c r="P104" s="78"/>
      <c r="Q104" s="78"/>
      <c r="R104" s="78"/>
      <c r="S104" s="78"/>
      <c r="T104" s="78"/>
      <c r="U104" s="78"/>
      <c r="V104" s="78"/>
      <c r="W104" s="78"/>
      <c r="X104" s="78"/>
      <c r="Y104" s="78"/>
      <c r="Z104" s="78"/>
      <c r="AA104" s="78"/>
    </row>
    <row r="105" spans="2:27" x14ac:dyDescent="0.3">
      <c r="B105" s="47" t="str">
        <f>+B104</f>
        <v>Cuenca Corani</v>
      </c>
      <c r="C105" s="110">
        <v>2025</v>
      </c>
      <c r="D105" s="426">
        <v>220</v>
      </c>
      <c r="E105" s="110">
        <v>0.5</v>
      </c>
      <c r="F105" s="110"/>
      <c r="G105" s="49">
        <f t="shared" si="62"/>
        <v>0</v>
      </c>
      <c r="H105" s="49">
        <f t="shared" si="62"/>
        <v>0</v>
      </c>
      <c r="I105" s="49">
        <f t="shared" si="62"/>
        <v>0</v>
      </c>
      <c r="J105" s="49">
        <f t="shared" si="62"/>
        <v>0</v>
      </c>
      <c r="K105" s="49">
        <f t="shared" si="62"/>
        <v>0</v>
      </c>
      <c r="L105" s="49">
        <f t="shared" si="62"/>
        <v>0</v>
      </c>
      <c r="M105" s="49">
        <f t="shared" si="62"/>
        <v>0</v>
      </c>
      <c r="N105" s="49">
        <f t="shared" si="62"/>
        <v>0</v>
      </c>
      <c r="O105" s="49">
        <f t="shared" si="62"/>
        <v>0</v>
      </c>
      <c r="P105" s="49">
        <f t="shared" si="62"/>
        <v>0</v>
      </c>
      <c r="Q105" s="49">
        <f t="shared" si="62"/>
        <v>0</v>
      </c>
      <c r="R105" s="49">
        <f t="shared" si="62"/>
        <v>0</v>
      </c>
      <c r="S105" s="49">
        <f t="shared" si="62"/>
        <v>0</v>
      </c>
      <c r="T105" s="49">
        <f t="shared" si="62"/>
        <v>0</v>
      </c>
      <c r="U105" s="49">
        <f t="shared" si="62"/>
        <v>0</v>
      </c>
      <c r="V105" s="49">
        <f t="shared" si="62"/>
        <v>963600</v>
      </c>
      <c r="W105" s="49">
        <f t="shared" si="63"/>
        <v>963600</v>
      </c>
      <c r="X105" s="49">
        <f t="shared" si="63"/>
        <v>963600</v>
      </c>
      <c r="Y105" s="49">
        <f t="shared" si="63"/>
        <v>963600</v>
      </c>
      <c r="Z105" s="49">
        <f t="shared" si="63"/>
        <v>963600</v>
      </c>
      <c r="AA105" s="49">
        <f t="shared" si="63"/>
        <v>963600</v>
      </c>
    </row>
    <row r="106" spans="2:27" x14ac:dyDescent="0.3">
      <c r="B106" s="57" t="s">
        <v>470</v>
      </c>
      <c r="C106" s="57"/>
      <c r="D106" s="432"/>
      <c r="E106" s="57"/>
      <c r="F106" s="57"/>
      <c r="G106" s="78"/>
      <c r="H106" s="78"/>
      <c r="I106" s="78"/>
      <c r="J106" s="78"/>
      <c r="K106" s="78"/>
      <c r="L106" s="78"/>
      <c r="M106" s="78"/>
      <c r="N106" s="78"/>
      <c r="O106" s="78"/>
      <c r="P106" s="78"/>
      <c r="Q106" s="78"/>
      <c r="R106" s="78"/>
      <c r="S106" s="78"/>
      <c r="T106" s="78"/>
      <c r="U106" s="78"/>
      <c r="V106" s="78"/>
      <c r="W106" s="78"/>
      <c r="X106" s="78"/>
      <c r="Y106" s="78"/>
      <c r="Z106" s="78"/>
      <c r="AA106" s="78"/>
    </row>
    <row r="107" spans="2:27" x14ac:dyDescent="0.3">
      <c r="B107" s="47" t="str">
        <f>+B106</f>
        <v>Moliineros</v>
      </c>
      <c r="C107" s="110">
        <v>2025</v>
      </c>
      <c r="D107" s="426">
        <v>132</v>
      </c>
      <c r="E107" s="110">
        <v>0.5</v>
      </c>
      <c r="F107" s="110"/>
      <c r="G107" s="49">
        <f t="shared" si="62"/>
        <v>0</v>
      </c>
      <c r="H107" s="49">
        <f t="shared" si="62"/>
        <v>0</v>
      </c>
      <c r="I107" s="49">
        <f t="shared" si="62"/>
        <v>0</v>
      </c>
      <c r="J107" s="49">
        <f t="shared" si="62"/>
        <v>0</v>
      </c>
      <c r="K107" s="49">
        <f t="shared" si="62"/>
        <v>0</v>
      </c>
      <c r="L107" s="49">
        <f t="shared" si="62"/>
        <v>0</v>
      </c>
      <c r="M107" s="49">
        <f t="shared" si="62"/>
        <v>0</v>
      </c>
      <c r="N107" s="49">
        <f t="shared" si="62"/>
        <v>0</v>
      </c>
      <c r="O107" s="49">
        <f t="shared" si="62"/>
        <v>0</v>
      </c>
      <c r="P107" s="49">
        <f t="shared" si="62"/>
        <v>0</v>
      </c>
      <c r="Q107" s="49">
        <f t="shared" si="62"/>
        <v>0</v>
      </c>
      <c r="R107" s="49">
        <f t="shared" si="62"/>
        <v>0</v>
      </c>
      <c r="S107" s="49">
        <f t="shared" si="62"/>
        <v>0</v>
      </c>
      <c r="T107" s="49">
        <f t="shared" si="62"/>
        <v>0</v>
      </c>
      <c r="U107" s="49">
        <f t="shared" si="62"/>
        <v>0</v>
      </c>
      <c r="V107" s="49">
        <f t="shared" si="62"/>
        <v>578160</v>
      </c>
      <c r="W107" s="49">
        <f t="shared" si="63"/>
        <v>578160</v>
      </c>
      <c r="X107" s="49">
        <f t="shared" si="63"/>
        <v>578160</v>
      </c>
      <c r="Y107" s="49">
        <f t="shared" si="63"/>
        <v>578160</v>
      </c>
      <c r="Z107" s="49">
        <f t="shared" si="63"/>
        <v>578160</v>
      </c>
      <c r="AA107" s="49">
        <f t="shared" si="63"/>
        <v>578160</v>
      </c>
    </row>
    <row r="108" spans="2:27" x14ac:dyDescent="0.3">
      <c r="B108" s="57" t="s">
        <v>254</v>
      </c>
      <c r="C108" s="57"/>
      <c r="D108" s="432"/>
      <c r="E108" s="57"/>
      <c r="F108" s="57"/>
      <c r="G108" s="78"/>
      <c r="H108" s="78"/>
      <c r="I108" s="78"/>
      <c r="J108" s="78"/>
      <c r="K108" s="78"/>
      <c r="L108" s="78"/>
      <c r="M108" s="78"/>
      <c r="N108" s="78"/>
      <c r="O108" s="78"/>
      <c r="P108" s="78"/>
      <c r="Q108" s="78"/>
      <c r="R108" s="78"/>
      <c r="S108" s="78"/>
      <c r="T108" s="78"/>
      <c r="U108" s="78"/>
      <c r="V108" s="78"/>
      <c r="W108" s="78"/>
      <c r="X108" s="78"/>
      <c r="Y108" s="78"/>
      <c r="Z108" s="78"/>
      <c r="AA108" s="78"/>
    </row>
    <row r="109" spans="2:27" x14ac:dyDescent="0.3">
      <c r="B109" s="47" t="str">
        <f>+B108</f>
        <v>Rositas</v>
      </c>
      <c r="C109" s="110">
        <v>2025</v>
      </c>
      <c r="D109" s="426">
        <v>600</v>
      </c>
      <c r="E109" s="110">
        <v>0.5</v>
      </c>
      <c r="F109" s="110"/>
      <c r="G109" s="49">
        <f t="shared" si="62"/>
        <v>0</v>
      </c>
      <c r="H109" s="49">
        <f t="shared" si="62"/>
        <v>0</v>
      </c>
      <c r="I109" s="49">
        <f t="shared" si="62"/>
        <v>0</v>
      </c>
      <c r="J109" s="49">
        <f t="shared" si="62"/>
        <v>0</v>
      </c>
      <c r="K109" s="49">
        <f t="shared" si="62"/>
        <v>0</v>
      </c>
      <c r="L109" s="49">
        <f t="shared" si="62"/>
        <v>0</v>
      </c>
      <c r="M109" s="49">
        <f t="shared" si="62"/>
        <v>0</v>
      </c>
      <c r="N109" s="49">
        <f t="shared" si="62"/>
        <v>0</v>
      </c>
      <c r="O109" s="49">
        <f t="shared" si="62"/>
        <v>0</v>
      </c>
      <c r="P109" s="49">
        <f t="shared" si="62"/>
        <v>0</v>
      </c>
      <c r="Q109" s="49">
        <f t="shared" si="62"/>
        <v>0</v>
      </c>
      <c r="R109" s="49">
        <f t="shared" si="62"/>
        <v>0</v>
      </c>
      <c r="S109" s="49">
        <f t="shared" si="62"/>
        <v>0</v>
      </c>
      <c r="T109" s="49">
        <f t="shared" si="62"/>
        <v>0</v>
      </c>
      <c r="U109" s="49">
        <f t="shared" si="62"/>
        <v>0</v>
      </c>
      <c r="V109" s="49">
        <f t="shared" si="62"/>
        <v>2628000</v>
      </c>
      <c r="W109" s="49">
        <f t="shared" si="63"/>
        <v>2628000</v>
      </c>
      <c r="X109" s="49">
        <f t="shared" si="63"/>
        <v>2628000</v>
      </c>
      <c r="Y109" s="49">
        <f t="shared" si="63"/>
        <v>2628000</v>
      </c>
      <c r="Z109" s="49">
        <f t="shared" si="63"/>
        <v>2628000</v>
      </c>
      <c r="AA109" s="49">
        <f t="shared" si="63"/>
        <v>2628000</v>
      </c>
    </row>
    <row r="110" spans="2:27" x14ac:dyDescent="0.3">
      <c r="B110" s="57" t="s">
        <v>303</v>
      </c>
      <c r="C110" s="57"/>
      <c r="D110" s="432"/>
      <c r="E110" s="57"/>
      <c r="F110" s="57"/>
      <c r="G110" s="78"/>
      <c r="H110" s="78"/>
      <c r="I110" s="78"/>
      <c r="J110" s="78"/>
      <c r="K110" s="78"/>
      <c r="L110" s="78"/>
      <c r="M110" s="78"/>
      <c r="N110" s="78"/>
      <c r="O110" s="78"/>
      <c r="P110" s="78"/>
      <c r="Q110" s="78"/>
      <c r="R110" s="78"/>
      <c r="S110" s="78"/>
      <c r="T110" s="78"/>
      <c r="U110" s="78"/>
      <c r="V110" s="78"/>
      <c r="W110" s="78"/>
      <c r="X110" s="78"/>
      <c r="Y110" s="78"/>
      <c r="Z110" s="78"/>
      <c r="AA110" s="78"/>
    </row>
    <row r="111" spans="2:27" x14ac:dyDescent="0.3">
      <c r="B111" s="47" t="str">
        <f>+B110</f>
        <v>Icla</v>
      </c>
      <c r="C111" s="110">
        <v>2029</v>
      </c>
      <c r="D111" s="426">
        <v>102</v>
      </c>
      <c r="E111" s="110">
        <v>0.53</v>
      </c>
      <c r="F111" s="110"/>
      <c r="G111" s="49">
        <f t="shared" ref="G111:V111" si="64">+IF($C111&lt;=G$52,$D111*8760*$E111,0)</f>
        <v>0</v>
      </c>
      <c r="H111" s="49">
        <f t="shared" si="64"/>
        <v>0</v>
      </c>
      <c r="I111" s="49">
        <f t="shared" si="64"/>
        <v>0</v>
      </c>
      <c r="J111" s="49">
        <f t="shared" si="64"/>
        <v>0</v>
      </c>
      <c r="K111" s="49">
        <f t="shared" si="64"/>
        <v>0</v>
      </c>
      <c r="L111" s="49">
        <f t="shared" si="64"/>
        <v>0</v>
      </c>
      <c r="M111" s="49">
        <f t="shared" si="64"/>
        <v>0</v>
      </c>
      <c r="N111" s="49">
        <f t="shared" si="64"/>
        <v>0</v>
      </c>
      <c r="O111" s="49">
        <f t="shared" si="64"/>
        <v>0</v>
      </c>
      <c r="P111" s="49">
        <f t="shared" si="64"/>
        <v>0</v>
      </c>
      <c r="Q111" s="49">
        <f t="shared" si="64"/>
        <v>0</v>
      </c>
      <c r="R111" s="49">
        <f t="shared" si="64"/>
        <v>0</v>
      </c>
      <c r="S111" s="49">
        <f t="shared" si="64"/>
        <v>0</v>
      </c>
      <c r="T111" s="49">
        <f t="shared" si="64"/>
        <v>0</v>
      </c>
      <c r="U111" s="49">
        <f t="shared" si="64"/>
        <v>0</v>
      </c>
      <c r="V111" s="49">
        <f t="shared" si="64"/>
        <v>0</v>
      </c>
      <c r="W111" s="49">
        <f t="shared" si="63"/>
        <v>0</v>
      </c>
      <c r="X111" s="49">
        <f t="shared" si="63"/>
        <v>0</v>
      </c>
      <c r="Y111" s="49">
        <f t="shared" si="63"/>
        <v>0</v>
      </c>
      <c r="Z111" s="49">
        <f t="shared" si="63"/>
        <v>473565.60000000003</v>
      </c>
      <c r="AA111" s="49">
        <f t="shared" si="63"/>
        <v>473565.60000000003</v>
      </c>
    </row>
    <row r="112" spans="2:27" x14ac:dyDescent="0.3">
      <c r="B112" s="57" t="s">
        <v>304</v>
      </c>
      <c r="C112" s="57"/>
      <c r="D112" s="432"/>
      <c r="E112" s="57"/>
      <c r="F112" s="57"/>
      <c r="G112" s="78"/>
      <c r="H112" s="78"/>
      <c r="I112" s="78"/>
      <c r="J112" s="78"/>
      <c r="K112" s="78"/>
      <c r="L112" s="78"/>
      <c r="M112" s="78"/>
      <c r="N112" s="78"/>
      <c r="O112" s="78"/>
      <c r="P112" s="78"/>
      <c r="Q112" s="78"/>
      <c r="R112" s="78"/>
      <c r="S112" s="78"/>
      <c r="T112" s="78"/>
      <c r="U112" s="78"/>
      <c r="V112" s="78"/>
      <c r="W112" s="78"/>
      <c r="X112" s="78"/>
      <c r="Y112" s="78"/>
      <c r="Z112" s="78"/>
      <c r="AA112" s="78"/>
    </row>
    <row r="113" spans="2:27" x14ac:dyDescent="0.3">
      <c r="B113" s="47" t="str">
        <f>+B112</f>
        <v>Margarita</v>
      </c>
      <c r="C113" s="110">
        <v>2029</v>
      </c>
      <c r="D113" s="426">
        <v>150</v>
      </c>
      <c r="E113" s="110">
        <v>0.53</v>
      </c>
      <c r="F113" s="110"/>
      <c r="G113" s="49">
        <f t="shared" ref="G113:V113" si="65">+IF($C113&lt;=G$52,$D113*8760*$E113,0)</f>
        <v>0</v>
      </c>
      <c r="H113" s="49">
        <f t="shared" si="65"/>
        <v>0</v>
      </c>
      <c r="I113" s="49">
        <f t="shared" si="65"/>
        <v>0</v>
      </c>
      <c r="J113" s="49">
        <f t="shared" si="65"/>
        <v>0</v>
      </c>
      <c r="K113" s="49">
        <f t="shared" si="65"/>
        <v>0</v>
      </c>
      <c r="L113" s="49">
        <f t="shared" si="65"/>
        <v>0</v>
      </c>
      <c r="M113" s="49">
        <f t="shared" si="65"/>
        <v>0</v>
      </c>
      <c r="N113" s="49">
        <f t="shared" si="65"/>
        <v>0</v>
      </c>
      <c r="O113" s="49">
        <f t="shared" si="65"/>
        <v>0</v>
      </c>
      <c r="P113" s="49">
        <f t="shared" si="65"/>
        <v>0</v>
      </c>
      <c r="Q113" s="49">
        <f t="shared" si="65"/>
        <v>0</v>
      </c>
      <c r="R113" s="49">
        <f t="shared" si="65"/>
        <v>0</v>
      </c>
      <c r="S113" s="49">
        <f t="shared" si="65"/>
        <v>0</v>
      </c>
      <c r="T113" s="49">
        <f t="shared" si="65"/>
        <v>0</v>
      </c>
      <c r="U113" s="49">
        <f t="shared" si="65"/>
        <v>0</v>
      </c>
      <c r="V113" s="49">
        <f t="shared" si="65"/>
        <v>0</v>
      </c>
      <c r="W113" s="49">
        <f t="shared" si="63"/>
        <v>0</v>
      </c>
      <c r="X113" s="49">
        <f t="shared" si="63"/>
        <v>0</v>
      </c>
      <c r="Y113" s="49">
        <f t="shared" si="63"/>
        <v>0</v>
      </c>
      <c r="Z113" s="49">
        <f t="shared" si="63"/>
        <v>696420</v>
      </c>
      <c r="AA113" s="49">
        <f t="shared" si="63"/>
        <v>696420</v>
      </c>
    </row>
    <row r="114" spans="2:27" x14ac:dyDescent="0.3">
      <c r="B114" s="57" t="s">
        <v>305</v>
      </c>
      <c r="C114" s="57"/>
      <c r="D114" s="432"/>
      <c r="E114" s="57"/>
      <c r="F114" s="57"/>
      <c r="G114" s="78"/>
      <c r="H114" s="78"/>
      <c r="I114" s="78"/>
      <c r="J114" s="78"/>
      <c r="K114" s="78"/>
      <c r="L114" s="78"/>
      <c r="M114" s="78"/>
      <c r="N114" s="78"/>
      <c r="O114" s="78"/>
      <c r="P114" s="78"/>
      <c r="Q114" s="78"/>
      <c r="R114" s="78"/>
      <c r="S114" s="78"/>
      <c r="T114" s="78"/>
      <c r="U114" s="78"/>
      <c r="V114" s="78"/>
      <c r="W114" s="78"/>
      <c r="X114" s="78"/>
      <c r="Y114" s="78"/>
      <c r="Z114" s="78"/>
      <c r="AA114" s="78"/>
    </row>
    <row r="115" spans="2:27" x14ac:dyDescent="0.3">
      <c r="B115" s="47" t="str">
        <f>+B114</f>
        <v>Río Grande (excl. Juntas)</v>
      </c>
      <c r="C115" s="110">
        <v>2029</v>
      </c>
      <c r="D115" s="426">
        <f>3072-172</f>
        <v>2900</v>
      </c>
      <c r="E115" s="110">
        <v>0.53</v>
      </c>
      <c r="F115" s="110"/>
      <c r="G115" s="49">
        <f t="shared" ref="G115:V115" si="66">+IF($C115&lt;=G$52,$D115*8760*$E115,0)</f>
        <v>0</v>
      </c>
      <c r="H115" s="49">
        <f t="shared" si="66"/>
        <v>0</v>
      </c>
      <c r="I115" s="49">
        <f t="shared" si="66"/>
        <v>0</v>
      </c>
      <c r="J115" s="49">
        <f t="shared" si="66"/>
        <v>0</v>
      </c>
      <c r="K115" s="49">
        <f t="shared" si="66"/>
        <v>0</v>
      </c>
      <c r="L115" s="49">
        <f t="shared" si="66"/>
        <v>0</v>
      </c>
      <c r="M115" s="49">
        <f t="shared" si="66"/>
        <v>0</v>
      </c>
      <c r="N115" s="49">
        <f t="shared" si="66"/>
        <v>0</v>
      </c>
      <c r="O115" s="49">
        <f t="shared" si="66"/>
        <v>0</v>
      </c>
      <c r="P115" s="49">
        <f t="shared" si="66"/>
        <v>0</v>
      </c>
      <c r="Q115" s="49">
        <f t="shared" si="66"/>
        <v>0</v>
      </c>
      <c r="R115" s="49">
        <f t="shared" si="66"/>
        <v>0</v>
      </c>
      <c r="S115" s="49">
        <f t="shared" si="66"/>
        <v>0</v>
      </c>
      <c r="T115" s="49">
        <f t="shared" si="66"/>
        <v>0</v>
      </c>
      <c r="U115" s="49">
        <f t="shared" si="66"/>
        <v>0</v>
      </c>
      <c r="V115" s="49">
        <f t="shared" si="66"/>
        <v>0</v>
      </c>
      <c r="W115" s="49">
        <f t="shared" si="63"/>
        <v>0</v>
      </c>
      <c r="X115" s="49">
        <f t="shared" si="63"/>
        <v>0</v>
      </c>
      <c r="Y115" s="49">
        <f t="shared" si="63"/>
        <v>0</v>
      </c>
      <c r="Z115" s="49">
        <f t="shared" si="63"/>
        <v>13464120</v>
      </c>
      <c r="AA115" s="49">
        <f t="shared" si="63"/>
        <v>13464120</v>
      </c>
    </row>
    <row r="116" spans="2:27" x14ac:dyDescent="0.3">
      <c r="B116" s="57" t="s">
        <v>471</v>
      </c>
      <c r="C116" s="57"/>
      <c r="D116" s="432"/>
      <c r="E116" s="57"/>
      <c r="F116" s="57"/>
      <c r="G116" s="78"/>
      <c r="H116" s="78"/>
      <c r="I116" s="78"/>
      <c r="J116" s="78"/>
      <c r="K116" s="78"/>
      <c r="L116" s="78"/>
      <c r="M116" s="78"/>
      <c r="N116" s="78"/>
      <c r="O116" s="78"/>
      <c r="P116" s="78"/>
      <c r="Q116" s="78"/>
      <c r="R116" s="78"/>
      <c r="S116" s="78"/>
      <c r="T116" s="78"/>
      <c r="U116" s="78"/>
      <c r="V116" s="78"/>
      <c r="W116" s="78"/>
      <c r="X116" s="78"/>
      <c r="Y116" s="78"/>
      <c r="Z116" s="78"/>
      <c r="AA116" s="78"/>
    </row>
    <row r="117" spans="2:27" x14ac:dyDescent="0.3">
      <c r="B117" s="47" t="str">
        <f>+B116</f>
        <v>Otras  nuevas plantas</v>
      </c>
      <c r="C117" s="110">
        <v>2029</v>
      </c>
      <c r="D117" s="426">
        <v>360</v>
      </c>
      <c r="E117" s="110">
        <v>0.53</v>
      </c>
      <c r="F117" s="110"/>
      <c r="G117" s="49">
        <f t="shared" ref="G117:V117" si="67">+IF($C117&lt;=G$52,$D117*8760*$E117,0)</f>
        <v>0</v>
      </c>
      <c r="H117" s="49">
        <f t="shared" si="67"/>
        <v>0</v>
      </c>
      <c r="I117" s="49">
        <f t="shared" si="67"/>
        <v>0</v>
      </c>
      <c r="J117" s="49">
        <f t="shared" si="67"/>
        <v>0</v>
      </c>
      <c r="K117" s="49">
        <f t="shared" si="67"/>
        <v>0</v>
      </c>
      <c r="L117" s="49">
        <f t="shared" si="67"/>
        <v>0</v>
      </c>
      <c r="M117" s="49">
        <f t="shared" si="67"/>
        <v>0</v>
      </c>
      <c r="N117" s="49">
        <f t="shared" si="67"/>
        <v>0</v>
      </c>
      <c r="O117" s="49">
        <f t="shared" si="67"/>
        <v>0</v>
      </c>
      <c r="P117" s="49">
        <f t="shared" si="67"/>
        <v>0</v>
      </c>
      <c r="Q117" s="49">
        <f t="shared" si="67"/>
        <v>0</v>
      </c>
      <c r="R117" s="49">
        <f t="shared" si="67"/>
        <v>0</v>
      </c>
      <c r="S117" s="49">
        <f t="shared" si="67"/>
        <v>0</v>
      </c>
      <c r="T117" s="49">
        <f t="shared" si="67"/>
        <v>0</v>
      </c>
      <c r="U117" s="49">
        <f t="shared" si="67"/>
        <v>0</v>
      </c>
      <c r="V117" s="49">
        <f t="shared" si="67"/>
        <v>0</v>
      </c>
      <c r="W117" s="49">
        <f t="shared" si="63"/>
        <v>0</v>
      </c>
      <c r="X117" s="49">
        <f t="shared" si="63"/>
        <v>0</v>
      </c>
      <c r="Y117" s="49">
        <f t="shared" si="63"/>
        <v>0</v>
      </c>
      <c r="Z117" s="49">
        <f t="shared" si="63"/>
        <v>1671408</v>
      </c>
      <c r="AA117" s="49">
        <f t="shared" si="63"/>
        <v>1671408</v>
      </c>
    </row>
    <row r="118" spans="2:27" x14ac:dyDescent="0.3">
      <c r="B118" s="57" t="s">
        <v>261</v>
      </c>
      <c r="C118" s="57"/>
      <c r="D118" s="432"/>
      <c r="E118" s="57"/>
      <c r="F118" s="57"/>
      <c r="G118" s="78"/>
      <c r="H118" s="78"/>
      <c r="I118" s="78"/>
      <c r="J118" s="78"/>
      <c r="K118" s="78"/>
      <c r="L118" s="78"/>
      <c r="M118" s="78"/>
      <c r="N118" s="78"/>
      <c r="O118" s="78"/>
      <c r="P118" s="78"/>
      <c r="Q118" s="78"/>
      <c r="R118" s="78"/>
      <c r="S118" s="78"/>
      <c r="T118" s="78"/>
      <c r="U118" s="78"/>
      <c r="V118" s="78"/>
      <c r="W118" s="78"/>
      <c r="X118" s="78"/>
      <c r="Y118" s="78"/>
      <c r="Z118" s="78"/>
      <c r="AA118" s="78"/>
    </row>
    <row r="119" spans="2:27" x14ac:dyDescent="0.3">
      <c r="B119" s="47" t="str">
        <f>+B118</f>
        <v>Cachuela Esperanza</v>
      </c>
      <c r="C119" s="110">
        <v>2029</v>
      </c>
      <c r="D119" s="426">
        <v>990</v>
      </c>
      <c r="E119" s="417">
        <v>0.65725750657257509</v>
      </c>
      <c r="F119" s="110"/>
      <c r="G119" s="49">
        <f t="shared" ref="G119:V119" si="68">+IF($C119&lt;=G$52,$D119*8760*$E119,0)</f>
        <v>0</v>
      </c>
      <c r="H119" s="49">
        <f t="shared" si="68"/>
        <v>0</v>
      </c>
      <c r="I119" s="49">
        <f t="shared" si="68"/>
        <v>0</v>
      </c>
      <c r="J119" s="49">
        <f t="shared" si="68"/>
        <v>0</v>
      </c>
      <c r="K119" s="49">
        <f t="shared" si="68"/>
        <v>0</v>
      </c>
      <c r="L119" s="49">
        <f t="shared" si="68"/>
        <v>0</v>
      </c>
      <c r="M119" s="49">
        <f t="shared" si="68"/>
        <v>0</v>
      </c>
      <c r="N119" s="49">
        <f t="shared" si="68"/>
        <v>0</v>
      </c>
      <c r="O119" s="49">
        <f t="shared" si="68"/>
        <v>0</v>
      </c>
      <c r="P119" s="49">
        <f t="shared" si="68"/>
        <v>0</v>
      </c>
      <c r="Q119" s="49">
        <f t="shared" si="68"/>
        <v>0</v>
      </c>
      <c r="R119" s="49">
        <f t="shared" si="68"/>
        <v>0</v>
      </c>
      <c r="S119" s="49">
        <f t="shared" si="68"/>
        <v>0</v>
      </c>
      <c r="T119" s="49">
        <f t="shared" si="68"/>
        <v>0</v>
      </c>
      <c r="U119" s="49">
        <f t="shared" si="68"/>
        <v>0</v>
      </c>
      <c r="V119" s="49">
        <f t="shared" si="68"/>
        <v>0</v>
      </c>
      <c r="W119" s="49">
        <f t="shared" si="63"/>
        <v>0</v>
      </c>
      <c r="X119" s="49">
        <f t="shared" si="63"/>
        <v>0</v>
      </c>
      <c r="Y119" s="49">
        <f t="shared" si="63"/>
        <v>0</v>
      </c>
      <c r="Z119" s="49">
        <f t="shared" si="63"/>
        <v>5700000</v>
      </c>
      <c r="AA119" s="49">
        <f t="shared" si="63"/>
        <v>5700000</v>
      </c>
    </row>
    <row r="120" spans="2:27" x14ac:dyDescent="0.3">
      <c r="B120" s="57" t="s">
        <v>262</v>
      </c>
      <c r="C120" s="57"/>
      <c r="D120" s="432"/>
      <c r="E120" s="57"/>
      <c r="F120" s="57"/>
      <c r="G120" s="78"/>
      <c r="H120" s="78"/>
      <c r="I120" s="78"/>
      <c r="J120" s="78"/>
      <c r="K120" s="78"/>
      <c r="L120" s="78"/>
      <c r="M120" s="78"/>
      <c r="N120" s="78"/>
      <c r="O120" s="78"/>
      <c r="P120" s="78"/>
      <c r="Q120" s="78"/>
      <c r="R120" s="78"/>
      <c r="S120" s="78"/>
      <c r="T120" s="78"/>
      <c r="U120" s="78"/>
      <c r="V120" s="78"/>
      <c r="W120" s="78"/>
      <c r="X120" s="78"/>
      <c r="Y120" s="78"/>
      <c r="Z120" s="78"/>
      <c r="AA120" s="78"/>
    </row>
    <row r="121" spans="2:27" x14ac:dyDescent="0.3">
      <c r="B121" s="47" t="str">
        <f>B120</f>
        <v>El Bala</v>
      </c>
      <c r="C121" s="110">
        <v>2030</v>
      </c>
      <c r="D121" s="426">
        <v>1680</v>
      </c>
      <c r="E121" s="110">
        <v>0.5</v>
      </c>
      <c r="F121" s="110"/>
      <c r="G121" s="49">
        <f t="shared" ref="G121:V121" si="69">+IF($C121&lt;=G$52,$D121*8760*$E121,0)</f>
        <v>0</v>
      </c>
      <c r="H121" s="49">
        <f t="shared" si="69"/>
        <v>0</v>
      </c>
      <c r="I121" s="49">
        <f t="shared" si="69"/>
        <v>0</v>
      </c>
      <c r="J121" s="49">
        <f t="shared" si="69"/>
        <v>0</v>
      </c>
      <c r="K121" s="49">
        <f t="shared" si="69"/>
        <v>0</v>
      </c>
      <c r="L121" s="49">
        <f t="shared" si="69"/>
        <v>0</v>
      </c>
      <c r="M121" s="49">
        <f t="shared" si="69"/>
        <v>0</v>
      </c>
      <c r="N121" s="49">
        <f t="shared" si="69"/>
        <v>0</v>
      </c>
      <c r="O121" s="49">
        <f t="shared" si="69"/>
        <v>0</v>
      </c>
      <c r="P121" s="49">
        <f t="shared" si="69"/>
        <v>0</v>
      </c>
      <c r="Q121" s="49">
        <f t="shared" si="69"/>
        <v>0</v>
      </c>
      <c r="R121" s="49">
        <f t="shared" si="69"/>
        <v>0</v>
      </c>
      <c r="S121" s="49">
        <f t="shared" si="69"/>
        <v>0</v>
      </c>
      <c r="T121" s="49">
        <f t="shared" si="69"/>
        <v>0</v>
      </c>
      <c r="U121" s="49">
        <f t="shared" si="69"/>
        <v>0</v>
      </c>
      <c r="V121" s="49">
        <f t="shared" si="69"/>
        <v>0</v>
      </c>
      <c r="W121" s="49">
        <f t="shared" si="63"/>
        <v>0</v>
      </c>
      <c r="X121" s="49">
        <f t="shared" si="63"/>
        <v>0</v>
      </c>
      <c r="Y121" s="49">
        <f t="shared" si="63"/>
        <v>0</v>
      </c>
      <c r="Z121" s="49">
        <f t="shared" si="63"/>
        <v>0</v>
      </c>
      <c r="AA121" s="49">
        <f t="shared" si="63"/>
        <v>7358400</v>
      </c>
    </row>
    <row r="122" spans="2:27" x14ac:dyDescent="0.3">
      <c r="B122" s="57" t="s">
        <v>412</v>
      </c>
      <c r="C122" s="57"/>
      <c r="D122" s="57"/>
      <c r="E122" s="57"/>
      <c r="F122" s="57"/>
      <c r="G122" s="78"/>
      <c r="H122" s="78"/>
      <c r="I122" s="78"/>
      <c r="J122" s="78"/>
      <c r="K122" s="78"/>
      <c r="L122" s="78"/>
      <c r="M122" s="78"/>
      <c r="N122" s="78"/>
      <c r="O122" s="78"/>
      <c r="P122" s="78"/>
      <c r="Q122" s="78"/>
      <c r="R122" s="78"/>
      <c r="S122" s="78"/>
      <c r="T122" s="78"/>
      <c r="U122" s="78"/>
      <c r="V122" s="78"/>
      <c r="W122" s="78"/>
      <c r="X122" s="78"/>
      <c r="Y122" s="78"/>
      <c r="Z122" s="78"/>
      <c r="AA122" s="78"/>
    </row>
    <row r="123" spans="2:27" x14ac:dyDescent="0.3">
      <c r="B123" s="47" t="str">
        <f>B122</f>
        <v>Hydro A</v>
      </c>
      <c r="C123" s="110"/>
      <c r="D123" s="110"/>
      <c r="E123" s="110"/>
      <c r="F123" s="110"/>
      <c r="G123" s="49">
        <f t="shared" ref="G123:V123" si="70">+IF($C123&lt;=G$52,$D123*8760*$E123,0)</f>
        <v>0</v>
      </c>
      <c r="H123" s="49">
        <f t="shared" si="70"/>
        <v>0</v>
      </c>
      <c r="I123" s="49">
        <f t="shared" si="70"/>
        <v>0</v>
      </c>
      <c r="J123" s="49">
        <f t="shared" si="70"/>
        <v>0</v>
      </c>
      <c r="K123" s="49">
        <f t="shared" si="70"/>
        <v>0</v>
      </c>
      <c r="L123" s="49">
        <f t="shared" si="70"/>
        <v>0</v>
      </c>
      <c r="M123" s="49">
        <f t="shared" si="70"/>
        <v>0</v>
      </c>
      <c r="N123" s="49">
        <f t="shared" si="70"/>
        <v>0</v>
      </c>
      <c r="O123" s="49">
        <f t="shared" si="70"/>
        <v>0</v>
      </c>
      <c r="P123" s="49">
        <f t="shared" si="70"/>
        <v>0</v>
      </c>
      <c r="Q123" s="49">
        <f t="shared" si="70"/>
        <v>0</v>
      </c>
      <c r="R123" s="49">
        <f t="shared" si="70"/>
        <v>0</v>
      </c>
      <c r="S123" s="49">
        <f t="shared" si="70"/>
        <v>0</v>
      </c>
      <c r="T123" s="49">
        <f t="shared" si="70"/>
        <v>0</v>
      </c>
      <c r="U123" s="49">
        <f t="shared" si="70"/>
        <v>0</v>
      </c>
      <c r="V123" s="49">
        <f t="shared" si="70"/>
        <v>0</v>
      </c>
      <c r="W123" s="49">
        <f t="shared" si="63"/>
        <v>0</v>
      </c>
      <c r="X123" s="49">
        <f t="shared" si="63"/>
        <v>0</v>
      </c>
      <c r="Y123" s="49">
        <f t="shared" si="63"/>
        <v>0</v>
      </c>
      <c r="Z123" s="49">
        <f t="shared" si="63"/>
        <v>0</v>
      </c>
      <c r="AA123" s="49">
        <f t="shared" si="63"/>
        <v>0</v>
      </c>
    </row>
    <row r="124" spans="2:27" x14ac:dyDescent="0.3">
      <c r="B124" s="57" t="s">
        <v>413</v>
      </c>
      <c r="C124" s="57"/>
      <c r="D124" s="57"/>
      <c r="E124" s="57"/>
      <c r="F124" s="57"/>
      <c r="G124" s="78"/>
      <c r="H124" s="78"/>
      <c r="I124" s="78"/>
      <c r="J124" s="78"/>
      <c r="K124" s="78"/>
      <c r="L124" s="78"/>
      <c r="M124" s="78"/>
      <c r="N124" s="78"/>
      <c r="O124" s="78"/>
      <c r="P124" s="78"/>
      <c r="Q124" s="78"/>
      <c r="R124" s="78"/>
      <c r="S124" s="78"/>
      <c r="T124" s="78"/>
      <c r="U124" s="78"/>
      <c r="V124" s="78"/>
      <c r="W124" s="78"/>
      <c r="X124" s="78"/>
      <c r="Y124" s="78"/>
      <c r="Z124" s="78"/>
      <c r="AA124" s="78"/>
    </row>
    <row r="125" spans="2:27" x14ac:dyDescent="0.3">
      <c r="B125" s="47" t="str">
        <f>B124</f>
        <v>Hydro B</v>
      </c>
      <c r="C125" s="110"/>
      <c r="D125" s="110"/>
      <c r="E125" s="110"/>
      <c r="F125" s="110"/>
      <c r="G125" s="49">
        <f t="shared" ref="G125:V127" si="71">+IF($C125&lt;=G$52,$D125*8760*$E125,0)</f>
        <v>0</v>
      </c>
      <c r="H125" s="49">
        <f t="shared" si="71"/>
        <v>0</v>
      </c>
      <c r="I125" s="49">
        <f t="shared" si="71"/>
        <v>0</v>
      </c>
      <c r="J125" s="49">
        <f t="shared" si="71"/>
        <v>0</v>
      </c>
      <c r="K125" s="49">
        <f t="shared" si="71"/>
        <v>0</v>
      </c>
      <c r="L125" s="49">
        <f t="shared" si="71"/>
        <v>0</v>
      </c>
      <c r="M125" s="49">
        <f t="shared" si="71"/>
        <v>0</v>
      </c>
      <c r="N125" s="49">
        <f t="shared" si="71"/>
        <v>0</v>
      </c>
      <c r="O125" s="49">
        <f t="shared" si="71"/>
        <v>0</v>
      </c>
      <c r="P125" s="49">
        <f t="shared" si="71"/>
        <v>0</v>
      </c>
      <c r="Q125" s="49">
        <f t="shared" si="71"/>
        <v>0</v>
      </c>
      <c r="R125" s="49">
        <f t="shared" si="71"/>
        <v>0</v>
      </c>
      <c r="S125" s="49">
        <f t="shared" si="71"/>
        <v>0</v>
      </c>
      <c r="T125" s="49">
        <f t="shared" si="71"/>
        <v>0</v>
      </c>
      <c r="U125" s="49">
        <f t="shared" si="71"/>
        <v>0</v>
      </c>
      <c r="V125" s="49">
        <f t="shared" si="71"/>
        <v>0</v>
      </c>
      <c r="W125" s="49">
        <f t="shared" si="63"/>
        <v>0</v>
      </c>
      <c r="X125" s="49">
        <f t="shared" si="63"/>
        <v>0</v>
      </c>
      <c r="Y125" s="49">
        <f t="shared" si="63"/>
        <v>0</v>
      </c>
      <c r="Z125" s="49">
        <f t="shared" si="63"/>
        <v>0</v>
      </c>
      <c r="AA125" s="49">
        <f t="shared" si="63"/>
        <v>0</v>
      </c>
    </row>
    <row r="126" spans="2:27" x14ac:dyDescent="0.3">
      <c r="B126" s="57" t="s">
        <v>415</v>
      </c>
      <c r="C126" s="57"/>
      <c r="D126" s="57"/>
      <c r="E126" s="57"/>
      <c r="F126" s="57"/>
      <c r="G126" s="78"/>
      <c r="H126" s="78"/>
      <c r="I126" s="78"/>
      <c r="J126" s="78"/>
      <c r="K126" s="78"/>
      <c r="L126" s="78"/>
      <c r="M126" s="78"/>
      <c r="N126" s="78"/>
      <c r="O126" s="78"/>
      <c r="P126" s="78"/>
      <c r="Q126" s="78"/>
      <c r="R126" s="78"/>
      <c r="S126" s="78"/>
      <c r="T126" s="78"/>
      <c r="U126" s="78"/>
      <c r="V126" s="78"/>
      <c r="W126" s="78"/>
      <c r="X126" s="78"/>
      <c r="Y126" s="78"/>
      <c r="Z126" s="78"/>
      <c r="AA126" s="78"/>
    </row>
    <row r="127" spans="2:27" x14ac:dyDescent="0.3">
      <c r="B127" s="47" t="str">
        <f>B126</f>
        <v>Hydro C</v>
      </c>
      <c r="C127" s="110"/>
      <c r="D127" s="110"/>
      <c r="E127" s="110"/>
      <c r="F127" s="110"/>
      <c r="G127" s="49">
        <f t="shared" si="71"/>
        <v>0</v>
      </c>
      <c r="H127" s="49">
        <f t="shared" si="71"/>
        <v>0</v>
      </c>
      <c r="I127" s="49">
        <f t="shared" si="71"/>
        <v>0</v>
      </c>
      <c r="J127" s="49">
        <f t="shared" si="71"/>
        <v>0</v>
      </c>
      <c r="K127" s="49">
        <f t="shared" si="71"/>
        <v>0</v>
      </c>
      <c r="L127" s="49">
        <f t="shared" si="71"/>
        <v>0</v>
      </c>
      <c r="M127" s="49">
        <f t="shared" si="71"/>
        <v>0</v>
      </c>
      <c r="N127" s="49">
        <f t="shared" si="71"/>
        <v>0</v>
      </c>
      <c r="O127" s="49">
        <f t="shared" si="71"/>
        <v>0</v>
      </c>
      <c r="P127" s="49">
        <f t="shared" si="71"/>
        <v>0</v>
      </c>
      <c r="Q127" s="49">
        <f t="shared" si="71"/>
        <v>0</v>
      </c>
      <c r="R127" s="49">
        <f t="shared" si="71"/>
        <v>0</v>
      </c>
      <c r="S127" s="49">
        <f t="shared" si="71"/>
        <v>0</v>
      </c>
      <c r="T127" s="49">
        <f t="shared" si="71"/>
        <v>0</v>
      </c>
      <c r="U127" s="49">
        <f t="shared" si="71"/>
        <v>0</v>
      </c>
      <c r="V127" s="49">
        <f t="shared" si="71"/>
        <v>0</v>
      </c>
      <c r="W127" s="49">
        <f t="shared" si="63"/>
        <v>0</v>
      </c>
      <c r="X127" s="49">
        <f t="shared" si="63"/>
        <v>0</v>
      </c>
      <c r="Y127" s="49">
        <f t="shared" si="63"/>
        <v>0</v>
      </c>
      <c r="Z127" s="49">
        <f t="shared" si="63"/>
        <v>0</v>
      </c>
      <c r="AA127" s="49">
        <f t="shared" si="63"/>
        <v>0</v>
      </c>
    </row>
    <row r="128" spans="2:27" x14ac:dyDescent="0.3">
      <c r="B128" s="113"/>
      <c r="C128" s="28"/>
      <c r="D128" s="28"/>
      <c r="E128" s="28"/>
      <c r="F128" s="28"/>
      <c r="G128" s="30"/>
      <c r="H128" s="30"/>
      <c r="I128" s="30"/>
      <c r="J128" s="30"/>
      <c r="K128" s="30"/>
      <c r="L128" s="30"/>
      <c r="M128" s="30"/>
      <c r="N128" s="30"/>
      <c r="O128" s="30"/>
      <c r="P128" s="30"/>
      <c r="Q128" s="30"/>
      <c r="R128" s="30"/>
      <c r="S128" s="30"/>
      <c r="T128" s="30"/>
      <c r="U128" s="30"/>
      <c r="V128" s="30"/>
      <c r="W128" s="30"/>
      <c r="X128" s="30"/>
      <c r="Y128" s="30"/>
      <c r="Z128" s="30"/>
      <c r="AA128" s="30"/>
    </row>
    <row r="129" spans="2:27" x14ac:dyDescent="0.3">
      <c r="B129" s="13"/>
      <c r="C129" s="13"/>
      <c r="D129" s="13"/>
      <c r="E129" s="13"/>
      <c r="F129" s="13"/>
      <c r="G129" s="41"/>
      <c r="H129" s="41"/>
      <c r="I129" s="41"/>
      <c r="J129" s="41"/>
      <c r="K129" s="41"/>
      <c r="L129" s="41"/>
      <c r="M129" s="41"/>
      <c r="N129" s="41"/>
      <c r="O129" s="41"/>
      <c r="P129" s="41"/>
      <c r="Q129" s="41"/>
      <c r="R129" s="41"/>
      <c r="S129" s="41"/>
      <c r="T129" s="41"/>
      <c r="U129" s="41"/>
      <c r="V129" s="41"/>
      <c r="W129" s="41"/>
      <c r="X129" s="41"/>
      <c r="Y129" s="41"/>
      <c r="Z129" s="41"/>
      <c r="AA129" s="41"/>
    </row>
    <row r="130" spans="2:27" x14ac:dyDescent="0.3">
      <c r="B130" s="439"/>
      <c r="C130" s="440"/>
      <c r="D130" s="440"/>
      <c r="E130" s="440"/>
      <c r="F130" s="438"/>
      <c r="G130" s="381">
        <v>2010</v>
      </c>
      <c r="H130" s="381">
        <v>2011</v>
      </c>
      <c r="I130" s="381">
        <v>2012</v>
      </c>
      <c r="J130" s="381">
        <v>2013</v>
      </c>
      <c r="K130" s="381">
        <v>2014</v>
      </c>
      <c r="L130" s="381">
        <v>2015</v>
      </c>
      <c r="M130" s="381">
        <v>2016</v>
      </c>
      <c r="N130" s="381">
        <v>2017</v>
      </c>
      <c r="O130" s="381">
        <v>2018</v>
      </c>
      <c r="P130" s="381">
        <v>2019</v>
      </c>
      <c r="Q130" s="381">
        <v>2020</v>
      </c>
      <c r="R130" s="381">
        <v>2021</v>
      </c>
      <c r="S130" s="381">
        <v>2022</v>
      </c>
      <c r="T130" s="381">
        <v>2023</v>
      </c>
      <c r="U130" s="381">
        <v>2024</v>
      </c>
      <c r="V130" s="381">
        <v>2025</v>
      </c>
      <c r="W130" s="381">
        <v>2026</v>
      </c>
      <c r="X130" s="381">
        <v>2027</v>
      </c>
      <c r="Y130" s="381">
        <v>2028</v>
      </c>
      <c r="Z130" s="381">
        <v>2029</v>
      </c>
      <c r="AA130" s="381">
        <v>2030</v>
      </c>
    </row>
    <row r="131" spans="2:27" ht="28.8" x14ac:dyDescent="0.3">
      <c r="B131" s="84" t="s">
        <v>164</v>
      </c>
      <c r="C131" s="80" t="s">
        <v>279</v>
      </c>
      <c r="D131" s="389" t="s">
        <v>397</v>
      </c>
      <c r="E131" s="388" t="s">
        <v>247</v>
      </c>
      <c r="F131" s="388"/>
      <c r="G131" s="79" t="s">
        <v>197</v>
      </c>
      <c r="H131" s="79" t="s">
        <v>197</v>
      </c>
      <c r="I131" s="79" t="s">
        <v>197</v>
      </c>
      <c r="J131" s="79" t="s">
        <v>197</v>
      </c>
      <c r="K131" s="79" t="s">
        <v>197</v>
      </c>
      <c r="L131" s="79" t="s">
        <v>197</v>
      </c>
      <c r="M131" s="79" t="s">
        <v>197</v>
      </c>
      <c r="N131" s="79" t="s">
        <v>197</v>
      </c>
      <c r="O131" s="79" t="s">
        <v>197</v>
      </c>
      <c r="P131" s="79" t="s">
        <v>197</v>
      </c>
      <c r="Q131" s="79" t="s">
        <v>197</v>
      </c>
      <c r="R131" s="79" t="s">
        <v>197</v>
      </c>
      <c r="S131" s="79" t="s">
        <v>197</v>
      </c>
      <c r="T131" s="79" t="s">
        <v>197</v>
      </c>
      <c r="U131" s="79" t="s">
        <v>197</v>
      </c>
      <c r="V131" s="79" t="s">
        <v>197</v>
      </c>
      <c r="W131" s="79" t="s">
        <v>197</v>
      </c>
      <c r="X131" s="79" t="s">
        <v>197</v>
      </c>
      <c r="Y131" s="79" t="s">
        <v>197</v>
      </c>
      <c r="Z131" s="79" t="s">
        <v>197</v>
      </c>
      <c r="AA131" s="79" t="s">
        <v>197</v>
      </c>
    </row>
    <row r="132" spans="2:27" x14ac:dyDescent="0.3">
      <c r="B132" s="7" t="s">
        <v>8</v>
      </c>
      <c r="C132" s="11"/>
      <c r="D132" s="11"/>
      <c r="E132" s="11"/>
      <c r="F132" s="11"/>
      <c r="G132" s="85">
        <f>+SUM(G133:G147)</f>
        <v>0</v>
      </c>
      <c r="H132" s="85">
        <f t="shared" ref="H132:Z132" si="72">+SUM(H133:H147)</f>
        <v>0</v>
      </c>
      <c r="I132" s="85">
        <f t="shared" si="72"/>
        <v>0</v>
      </c>
      <c r="J132" s="85">
        <f t="shared" si="72"/>
        <v>0</v>
      </c>
      <c r="K132" s="85">
        <f t="shared" si="72"/>
        <v>0</v>
      </c>
      <c r="L132" s="85">
        <f t="shared" si="72"/>
        <v>0</v>
      </c>
      <c r="M132" s="85">
        <f t="shared" si="72"/>
        <v>0</v>
      </c>
      <c r="N132" s="85">
        <f t="shared" si="72"/>
        <v>0</v>
      </c>
      <c r="O132" s="85">
        <f t="shared" si="72"/>
        <v>0</v>
      </c>
      <c r="P132" s="85">
        <f t="shared" si="72"/>
        <v>0</v>
      </c>
      <c r="Q132" s="85">
        <f>+SUM(Q133:Q147)</f>
        <v>331128</v>
      </c>
      <c r="R132" s="85">
        <f>+SUM(R133:R147)</f>
        <v>469098</v>
      </c>
      <c r="S132" s="85">
        <f>+SUM(S133:S147)</f>
        <v>469098</v>
      </c>
      <c r="T132" s="85">
        <f t="shared" si="72"/>
        <v>469098</v>
      </c>
      <c r="U132" s="85">
        <f t="shared" si="72"/>
        <v>469098</v>
      </c>
      <c r="V132" s="85">
        <f t="shared" si="72"/>
        <v>469098</v>
      </c>
      <c r="W132" s="85">
        <f t="shared" si="72"/>
        <v>469098</v>
      </c>
      <c r="X132" s="85">
        <f t="shared" si="72"/>
        <v>469098</v>
      </c>
      <c r="Y132" s="85">
        <f t="shared" si="72"/>
        <v>469098</v>
      </c>
      <c r="Z132" s="85">
        <f t="shared" si="72"/>
        <v>469098</v>
      </c>
      <c r="AA132" s="85">
        <f>+SUM(AA133:AA147)</f>
        <v>1315314</v>
      </c>
    </row>
    <row r="133" spans="2:27" x14ac:dyDescent="0.3">
      <c r="B133" s="57" t="s">
        <v>49</v>
      </c>
      <c r="C133" s="57"/>
      <c r="D133" s="57"/>
      <c r="E133" s="57"/>
      <c r="F133" s="57"/>
      <c r="G133" s="78"/>
      <c r="H133" s="78"/>
      <c r="I133" s="78"/>
      <c r="J133" s="78"/>
      <c r="K133" s="78"/>
      <c r="L133" s="78"/>
      <c r="M133" s="78"/>
      <c r="N133" s="78"/>
      <c r="O133" s="78"/>
      <c r="P133" s="78"/>
      <c r="Q133" s="78"/>
      <c r="R133" s="78"/>
      <c r="S133" s="78"/>
      <c r="T133" s="78"/>
      <c r="U133" s="78"/>
      <c r="V133" s="78"/>
      <c r="W133" s="78"/>
      <c r="X133" s="78"/>
      <c r="Y133" s="78"/>
      <c r="Z133" s="78"/>
      <c r="AA133" s="78"/>
    </row>
    <row r="134" spans="2:27" x14ac:dyDescent="0.3">
      <c r="B134" s="47" t="s">
        <v>49</v>
      </c>
      <c r="C134" s="390">
        <v>2020</v>
      </c>
      <c r="D134" s="426">
        <v>54</v>
      </c>
      <c r="E134" s="110">
        <v>0.35</v>
      </c>
      <c r="F134" s="110"/>
      <c r="G134" s="49">
        <f>+IF($C134&lt;=G$52,$D134*8760*$E134,0)</f>
        <v>0</v>
      </c>
      <c r="H134" s="49">
        <f t="shared" ref="H134:AA147" si="73">+IF($C134&lt;=H$52,$D134*8760*$E134,0)</f>
        <v>0</v>
      </c>
      <c r="I134" s="49">
        <f t="shared" si="73"/>
        <v>0</v>
      </c>
      <c r="J134" s="49">
        <f t="shared" si="73"/>
        <v>0</v>
      </c>
      <c r="K134" s="49">
        <f t="shared" si="73"/>
        <v>0</v>
      </c>
      <c r="L134" s="49">
        <f t="shared" si="73"/>
        <v>0</v>
      </c>
      <c r="M134" s="49">
        <f t="shared" si="73"/>
        <v>0</v>
      </c>
      <c r="N134" s="49">
        <f t="shared" si="73"/>
        <v>0</v>
      </c>
      <c r="O134" s="49">
        <f t="shared" si="73"/>
        <v>0</v>
      </c>
      <c r="P134" s="49">
        <f t="shared" si="73"/>
        <v>0</v>
      </c>
      <c r="Q134" s="49">
        <f t="shared" si="73"/>
        <v>165564</v>
      </c>
      <c r="R134" s="49">
        <f t="shared" si="73"/>
        <v>165564</v>
      </c>
      <c r="S134" s="49">
        <f t="shared" si="73"/>
        <v>165564</v>
      </c>
      <c r="T134" s="49">
        <f t="shared" si="73"/>
        <v>165564</v>
      </c>
      <c r="U134" s="49">
        <f t="shared" si="73"/>
        <v>165564</v>
      </c>
      <c r="V134" s="49">
        <f t="shared" si="73"/>
        <v>165564</v>
      </c>
      <c r="W134" s="49">
        <f t="shared" si="73"/>
        <v>165564</v>
      </c>
      <c r="X134" s="49">
        <f t="shared" si="73"/>
        <v>165564</v>
      </c>
      <c r="Y134" s="49">
        <f t="shared" si="73"/>
        <v>165564</v>
      </c>
      <c r="Z134" s="49">
        <f t="shared" si="73"/>
        <v>165564</v>
      </c>
      <c r="AA134" s="49">
        <f t="shared" si="73"/>
        <v>165564</v>
      </c>
    </row>
    <row r="135" spans="2:27" x14ac:dyDescent="0.3">
      <c r="B135" s="57" t="s">
        <v>53</v>
      </c>
      <c r="C135" s="57"/>
      <c r="D135" s="392"/>
      <c r="E135" s="392"/>
      <c r="F135" s="392"/>
      <c r="G135" s="78"/>
      <c r="H135" s="78"/>
      <c r="I135" s="78"/>
      <c r="J135" s="78"/>
      <c r="K135" s="78"/>
      <c r="L135" s="78"/>
      <c r="M135" s="78"/>
      <c r="N135" s="78"/>
      <c r="O135" s="78"/>
      <c r="P135" s="78"/>
      <c r="Q135" s="78"/>
      <c r="R135" s="78"/>
      <c r="S135" s="78"/>
      <c r="T135" s="78"/>
      <c r="U135" s="78"/>
      <c r="V135" s="78"/>
      <c r="W135" s="78"/>
      <c r="X135" s="78"/>
      <c r="Y135" s="78"/>
      <c r="Z135" s="78"/>
      <c r="AA135" s="78"/>
    </row>
    <row r="136" spans="2:27" x14ac:dyDescent="0.3">
      <c r="B136" s="47" t="s">
        <v>53</v>
      </c>
      <c r="C136" s="390">
        <v>2021</v>
      </c>
      <c r="D136" s="426">
        <v>24</v>
      </c>
      <c r="E136" s="110">
        <v>0.35</v>
      </c>
      <c r="F136" s="110"/>
      <c r="G136" s="49">
        <f>+IF($C136&lt;=G$52,$D136*8760*$E136,0)</f>
        <v>0</v>
      </c>
      <c r="H136" s="49">
        <f t="shared" si="73"/>
        <v>0</v>
      </c>
      <c r="I136" s="49">
        <f t="shared" si="73"/>
        <v>0</v>
      </c>
      <c r="J136" s="49">
        <f t="shared" si="73"/>
        <v>0</v>
      </c>
      <c r="K136" s="49">
        <f t="shared" si="73"/>
        <v>0</v>
      </c>
      <c r="L136" s="49">
        <f t="shared" si="73"/>
        <v>0</v>
      </c>
      <c r="M136" s="49">
        <f t="shared" si="73"/>
        <v>0</v>
      </c>
      <c r="N136" s="49">
        <f t="shared" si="73"/>
        <v>0</v>
      </c>
      <c r="O136" s="49">
        <f t="shared" si="73"/>
        <v>0</v>
      </c>
      <c r="P136" s="49">
        <f t="shared" si="73"/>
        <v>0</v>
      </c>
      <c r="Q136" s="49">
        <f t="shared" si="73"/>
        <v>0</v>
      </c>
      <c r="R136" s="49">
        <f t="shared" si="73"/>
        <v>73584</v>
      </c>
      <c r="S136" s="49">
        <f t="shared" si="73"/>
        <v>73584</v>
      </c>
      <c r="T136" s="49">
        <f t="shared" si="73"/>
        <v>73584</v>
      </c>
      <c r="U136" s="49">
        <f t="shared" si="73"/>
        <v>73584</v>
      </c>
      <c r="V136" s="49">
        <f t="shared" si="73"/>
        <v>73584</v>
      </c>
      <c r="W136" s="49">
        <f t="shared" si="73"/>
        <v>73584</v>
      </c>
      <c r="X136" s="49">
        <f t="shared" si="73"/>
        <v>73584</v>
      </c>
      <c r="Y136" s="49">
        <f t="shared" si="73"/>
        <v>73584</v>
      </c>
      <c r="Z136" s="49">
        <f t="shared" si="73"/>
        <v>73584</v>
      </c>
      <c r="AA136" s="49">
        <f t="shared" si="73"/>
        <v>73584</v>
      </c>
    </row>
    <row r="137" spans="2:27" x14ac:dyDescent="0.3">
      <c r="B137" s="57" t="s">
        <v>48</v>
      </c>
      <c r="C137" s="57"/>
      <c r="D137" s="392"/>
      <c r="E137" s="392"/>
      <c r="F137" s="392"/>
      <c r="G137" s="78"/>
      <c r="H137" s="78"/>
      <c r="I137" s="78"/>
      <c r="J137" s="78"/>
      <c r="K137" s="78"/>
      <c r="L137" s="78"/>
      <c r="M137" s="78"/>
      <c r="N137" s="78"/>
      <c r="O137" s="78"/>
      <c r="P137" s="78"/>
      <c r="Q137" s="78"/>
      <c r="R137" s="78"/>
      <c r="S137" s="78"/>
      <c r="T137" s="78"/>
      <c r="U137" s="78"/>
      <c r="V137" s="78"/>
      <c r="W137" s="78"/>
      <c r="X137" s="78"/>
      <c r="Y137" s="78"/>
      <c r="Z137" s="78"/>
      <c r="AA137" s="78"/>
    </row>
    <row r="138" spans="2:27" x14ac:dyDescent="0.3">
      <c r="B138" s="47" t="s">
        <v>48</v>
      </c>
      <c r="C138" s="390">
        <v>2020</v>
      </c>
      <c r="D138" s="426">
        <v>39.6</v>
      </c>
      <c r="E138" s="110">
        <v>0.35</v>
      </c>
      <c r="F138" s="110"/>
      <c r="G138" s="49">
        <f>+IF($C138&lt;=G$52,$D138*8760*$E138,0)</f>
        <v>0</v>
      </c>
      <c r="H138" s="49">
        <f t="shared" si="73"/>
        <v>0</v>
      </c>
      <c r="I138" s="49">
        <f t="shared" si="73"/>
        <v>0</v>
      </c>
      <c r="J138" s="49">
        <f t="shared" si="73"/>
        <v>0</v>
      </c>
      <c r="K138" s="49">
        <f t="shared" si="73"/>
        <v>0</v>
      </c>
      <c r="L138" s="49">
        <f t="shared" si="73"/>
        <v>0</v>
      </c>
      <c r="M138" s="49">
        <f t="shared" si="73"/>
        <v>0</v>
      </c>
      <c r="N138" s="49">
        <f t="shared" si="73"/>
        <v>0</v>
      </c>
      <c r="O138" s="49">
        <f t="shared" si="73"/>
        <v>0</v>
      </c>
      <c r="P138" s="49">
        <f t="shared" si="73"/>
        <v>0</v>
      </c>
      <c r="Q138" s="49">
        <f t="shared" si="73"/>
        <v>121413.59999999999</v>
      </c>
      <c r="R138" s="49">
        <f t="shared" si="73"/>
        <v>121413.59999999999</v>
      </c>
      <c r="S138" s="49">
        <f t="shared" si="73"/>
        <v>121413.59999999999</v>
      </c>
      <c r="T138" s="49">
        <f t="shared" si="73"/>
        <v>121413.59999999999</v>
      </c>
      <c r="U138" s="49">
        <f t="shared" si="73"/>
        <v>121413.59999999999</v>
      </c>
      <c r="V138" s="49">
        <f t="shared" si="73"/>
        <v>121413.59999999999</v>
      </c>
      <c r="W138" s="49">
        <f t="shared" si="73"/>
        <v>121413.59999999999</v>
      </c>
      <c r="X138" s="49">
        <f t="shared" si="73"/>
        <v>121413.59999999999</v>
      </c>
      <c r="Y138" s="49">
        <f t="shared" si="73"/>
        <v>121413.59999999999</v>
      </c>
      <c r="Z138" s="49">
        <f t="shared" si="73"/>
        <v>121413.59999999999</v>
      </c>
      <c r="AA138" s="49">
        <f t="shared" si="73"/>
        <v>121413.59999999999</v>
      </c>
    </row>
    <row r="139" spans="2:27" x14ac:dyDescent="0.3">
      <c r="B139" s="57" t="s">
        <v>25</v>
      </c>
      <c r="C139" s="57"/>
      <c r="D139" s="57"/>
      <c r="E139" s="57"/>
      <c r="F139" s="57"/>
      <c r="G139" s="78"/>
      <c r="H139" s="78"/>
      <c r="I139" s="78"/>
      <c r="J139" s="78"/>
      <c r="K139" s="78"/>
      <c r="L139" s="78"/>
      <c r="M139" s="78"/>
      <c r="N139" s="78"/>
      <c r="O139" s="78"/>
      <c r="P139" s="78"/>
      <c r="Q139" s="78"/>
      <c r="R139" s="78"/>
      <c r="S139" s="78"/>
      <c r="T139" s="78"/>
      <c r="U139" s="78"/>
      <c r="V139" s="78"/>
      <c r="W139" s="78"/>
      <c r="X139" s="78"/>
      <c r="Y139" s="78"/>
      <c r="Z139" s="78"/>
      <c r="AA139" s="78"/>
    </row>
    <row r="140" spans="2:27" x14ac:dyDescent="0.3">
      <c r="B140" s="47" t="s">
        <v>58</v>
      </c>
      <c r="C140" s="110">
        <v>2020</v>
      </c>
      <c r="D140" s="426">
        <v>14.4</v>
      </c>
      <c r="E140" s="110">
        <v>0.35</v>
      </c>
      <c r="F140" s="110"/>
      <c r="G140" s="49">
        <f>+IF($C140&lt;=G$52,$D140*8760*$E140,0)</f>
        <v>0</v>
      </c>
      <c r="H140" s="49">
        <f t="shared" si="73"/>
        <v>0</v>
      </c>
      <c r="I140" s="49">
        <f t="shared" si="73"/>
        <v>0</v>
      </c>
      <c r="J140" s="49">
        <f t="shared" si="73"/>
        <v>0</v>
      </c>
      <c r="K140" s="49">
        <f t="shared" si="73"/>
        <v>0</v>
      </c>
      <c r="L140" s="49">
        <f t="shared" si="73"/>
        <v>0</v>
      </c>
      <c r="M140" s="49">
        <f t="shared" si="73"/>
        <v>0</v>
      </c>
      <c r="N140" s="49">
        <f t="shared" si="73"/>
        <v>0</v>
      </c>
      <c r="O140" s="49">
        <f t="shared" si="73"/>
        <v>0</v>
      </c>
      <c r="P140" s="49">
        <f t="shared" si="73"/>
        <v>0</v>
      </c>
      <c r="Q140" s="49">
        <f t="shared" si="73"/>
        <v>44150.399999999994</v>
      </c>
      <c r="R140" s="49">
        <f t="shared" si="73"/>
        <v>44150.399999999994</v>
      </c>
      <c r="S140" s="49">
        <f t="shared" si="73"/>
        <v>44150.399999999994</v>
      </c>
      <c r="T140" s="49">
        <f t="shared" si="73"/>
        <v>44150.399999999994</v>
      </c>
      <c r="U140" s="49">
        <f t="shared" si="73"/>
        <v>44150.399999999994</v>
      </c>
      <c r="V140" s="49">
        <f t="shared" si="73"/>
        <v>44150.399999999994</v>
      </c>
      <c r="W140" s="49">
        <f t="shared" si="73"/>
        <v>44150.399999999994</v>
      </c>
      <c r="X140" s="49">
        <f t="shared" si="73"/>
        <v>44150.399999999994</v>
      </c>
      <c r="Y140" s="49">
        <f t="shared" si="73"/>
        <v>44150.399999999994</v>
      </c>
      <c r="Z140" s="49">
        <f t="shared" si="73"/>
        <v>44150.399999999994</v>
      </c>
      <c r="AA140" s="49">
        <f t="shared" si="73"/>
        <v>44150.399999999994</v>
      </c>
    </row>
    <row r="141" spans="2:27" x14ac:dyDescent="0.3">
      <c r="B141" s="47" t="s">
        <v>52</v>
      </c>
      <c r="C141" s="110">
        <v>2021</v>
      </c>
      <c r="D141" s="426">
        <v>21</v>
      </c>
      <c r="E141" s="110">
        <v>0.35</v>
      </c>
      <c r="F141" s="110"/>
      <c r="G141" s="49">
        <f>+IF($C141&lt;=G$52,$D141*8760*$E141,0)</f>
        <v>0</v>
      </c>
      <c r="H141" s="49">
        <f t="shared" si="73"/>
        <v>0</v>
      </c>
      <c r="I141" s="49">
        <f t="shared" si="73"/>
        <v>0</v>
      </c>
      <c r="J141" s="49">
        <f t="shared" si="73"/>
        <v>0</v>
      </c>
      <c r="K141" s="49">
        <f t="shared" si="73"/>
        <v>0</v>
      </c>
      <c r="L141" s="49">
        <f t="shared" si="73"/>
        <v>0</v>
      </c>
      <c r="M141" s="49">
        <f t="shared" si="73"/>
        <v>0</v>
      </c>
      <c r="N141" s="49">
        <f t="shared" si="73"/>
        <v>0</v>
      </c>
      <c r="O141" s="49">
        <f t="shared" si="73"/>
        <v>0</v>
      </c>
      <c r="P141" s="49">
        <f t="shared" si="73"/>
        <v>0</v>
      </c>
      <c r="Q141" s="49">
        <f t="shared" si="73"/>
        <v>0</v>
      </c>
      <c r="R141" s="49">
        <f t="shared" si="73"/>
        <v>64385.999999999993</v>
      </c>
      <c r="S141" s="49">
        <f t="shared" si="73"/>
        <v>64385.999999999993</v>
      </c>
      <c r="T141" s="49">
        <f t="shared" si="73"/>
        <v>64385.999999999993</v>
      </c>
      <c r="U141" s="49">
        <f t="shared" si="73"/>
        <v>64385.999999999993</v>
      </c>
      <c r="V141" s="49">
        <f t="shared" si="73"/>
        <v>64385.999999999993</v>
      </c>
      <c r="W141" s="49">
        <f t="shared" si="73"/>
        <v>64385.999999999993</v>
      </c>
      <c r="X141" s="49">
        <f t="shared" si="73"/>
        <v>64385.999999999993</v>
      </c>
      <c r="Y141" s="49">
        <f t="shared" si="73"/>
        <v>64385.999999999993</v>
      </c>
      <c r="Z141" s="49">
        <f t="shared" si="73"/>
        <v>64385.999999999993</v>
      </c>
      <c r="AA141" s="49">
        <f t="shared" si="73"/>
        <v>64385.999999999993</v>
      </c>
    </row>
    <row r="142" spans="2:27" x14ac:dyDescent="0.3">
      <c r="B142" s="57" t="s">
        <v>418</v>
      </c>
      <c r="C142" s="57"/>
      <c r="D142" s="57"/>
      <c r="E142" s="57"/>
      <c r="F142" s="57"/>
      <c r="G142" s="78"/>
      <c r="H142" s="78"/>
      <c r="I142" s="78"/>
      <c r="J142" s="78"/>
      <c r="K142" s="78"/>
      <c r="L142" s="78"/>
      <c r="M142" s="78"/>
      <c r="N142" s="78"/>
      <c r="O142" s="78"/>
      <c r="P142" s="78"/>
      <c r="Q142" s="78"/>
      <c r="R142" s="78"/>
      <c r="S142" s="78"/>
      <c r="T142" s="78"/>
      <c r="U142" s="78"/>
      <c r="V142" s="78"/>
      <c r="W142" s="78"/>
      <c r="X142" s="78"/>
      <c r="Y142" s="78"/>
      <c r="Z142" s="78"/>
      <c r="AA142" s="78"/>
    </row>
    <row r="143" spans="2:27" x14ac:dyDescent="0.3">
      <c r="B143" s="47" t="s">
        <v>418</v>
      </c>
      <c r="C143" s="110">
        <v>2030</v>
      </c>
      <c r="D143" s="426">
        <v>276</v>
      </c>
      <c r="E143" s="110">
        <v>0.35</v>
      </c>
      <c r="F143" s="110"/>
      <c r="G143" s="49">
        <f>+IF($C143&lt;=G$52,$D143*8760*$E143,0)</f>
        <v>0</v>
      </c>
      <c r="H143" s="49">
        <f t="shared" si="73"/>
        <v>0</v>
      </c>
      <c r="I143" s="49">
        <f t="shared" si="73"/>
        <v>0</v>
      </c>
      <c r="J143" s="49">
        <f t="shared" si="73"/>
        <v>0</v>
      </c>
      <c r="K143" s="49">
        <f t="shared" si="73"/>
        <v>0</v>
      </c>
      <c r="L143" s="49">
        <f t="shared" si="73"/>
        <v>0</v>
      </c>
      <c r="M143" s="49">
        <f t="shared" si="73"/>
        <v>0</v>
      </c>
      <c r="N143" s="49">
        <f t="shared" si="73"/>
        <v>0</v>
      </c>
      <c r="O143" s="49">
        <f t="shared" si="73"/>
        <v>0</v>
      </c>
      <c r="P143" s="49">
        <f t="shared" si="73"/>
        <v>0</v>
      </c>
      <c r="Q143" s="49">
        <f t="shared" si="73"/>
        <v>0</v>
      </c>
      <c r="R143" s="49">
        <f t="shared" si="73"/>
        <v>0</v>
      </c>
      <c r="S143" s="49">
        <f t="shared" si="73"/>
        <v>0</v>
      </c>
      <c r="T143" s="49">
        <f t="shared" si="73"/>
        <v>0</v>
      </c>
      <c r="U143" s="49">
        <f t="shared" si="73"/>
        <v>0</v>
      </c>
      <c r="V143" s="49">
        <f t="shared" si="73"/>
        <v>0</v>
      </c>
      <c r="W143" s="49">
        <f t="shared" si="73"/>
        <v>0</v>
      </c>
      <c r="X143" s="49">
        <f t="shared" si="73"/>
        <v>0</v>
      </c>
      <c r="Y143" s="49">
        <f t="shared" si="73"/>
        <v>0</v>
      </c>
      <c r="Z143" s="49">
        <f t="shared" si="73"/>
        <v>0</v>
      </c>
      <c r="AA143" s="49">
        <f t="shared" si="73"/>
        <v>846216</v>
      </c>
    </row>
    <row r="144" spans="2:27" x14ac:dyDescent="0.3">
      <c r="B144" s="57" t="s">
        <v>419</v>
      </c>
      <c r="C144" s="57"/>
      <c r="D144" s="57"/>
      <c r="E144" s="57"/>
      <c r="F144" s="57"/>
      <c r="G144" s="78"/>
      <c r="H144" s="78"/>
      <c r="I144" s="78"/>
      <c r="J144" s="78"/>
      <c r="K144" s="78"/>
      <c r="L144" s="78"/>
      <c r="M144" s="78"/>
      <c r="N144" s="78"/>
      <c r="O144" s="78"/>
      <c r="P144" s="78"/>
      <c r="Q144" s="78"/>
      <c r="R144" s="78"/>
      <c r="S144" s="78"/>
      <c r="T144" s="78"/>
      <c r="U144" s="78"/>
      <c r="V144" s="78"/>
      <c r="W144" s="78"/>
      <c r="X144" s="78"/>
      <c r="Y144" s="78"/>
      <c r="Z144" s="78"/>
      <c r="AA144" s="78"/>
    </row>
    <row r="145" spans="2:27" x14ac:dyDescent="0.3">
      <c r="B145" s="47" t="s">
        <v>419</v>
      </c>
      <c r="C145" s="110"/>
      <c r="D145" s="391"/>
      <c r="E145" s="110"/>
      <c r="F145" s="110"/>
      <c r="G145" s="49">
        <f>+IF($C145&lt;=G$52,$D145*8760*$E145,0)</f>
        <v>0</v>
      </c>
      <c r="H145" s="49">
        <f t="shared" si="73"/>
        <v>0</v>
      </c>
      <c r="I145" s="49">
        <f t="shared" si="73"/>
        <v>0</v>
      </c>
      <c r="J145" s="49">
        <f t="shared" si="73"/>
        <v>0</v>
      </c>
      <c r="K145" s="49">
        <f t="shared" si="73"/>
        <v>0</v>
      </c>
      <c r="L145" s="49">
        <f t="shared" si="73"/>
        <v>0</v>
      </c>
      <c r="M145" s="49">
        <f t="shared" si="73"/>
        <v>0</v>
      </c>
      <c r="N145" s="49">
        <f t="shared" si="73"/>
        <v>0</v>
      </c>
      <c r="O145" s="49">
        <f t="shared" si="73"/>
        <v>0</v>
      </c>
      <c r="P145" s="49">
        <f t="shared" si="73"/>
        <v>0</v>
      </c>
      <c r="Q145" s="49">
        <f t="shared" si="73"/>
        <v>0</v>
      </c>
      <c r="R145" s="49">
        <f t="shared" si="73"/>
        <v>0</v>
      </c>
      <c r="S145" s="49">
        <f t="shared" si="73"/>
        <v>0</v>
      </c>
      <c r="T145" s="49">
        <f t="shared" si="73"/>
        <v>0</v>
      </c>
      <c r="U145" s="49">
        <f t="shared" si="73"/>
        <v>0</v>
      </c>
      <c r="V145" s="49">
        <f t="shared" si="73"/>
        <v>0</v>
      </c>
      <c r="W145" s="49">
        <f t="shared" si="73"/>
        <v>0</v>
      </c>
      <c r="X145" s="49">
        <f t="shared" si="73"/>
        <v>0</v>
      </c>
      <c r="Y145" s="49">
        <f t="shared" si="73"/>
        <v>0</v>
      </c>
      <c r="Z145" s="49">
        <f t="shared" si="73"/>
        <v>0</v>
      </c>
      <c r="AA145" s="49">
        <f t="shared" si="73"/>
        <v>0</v>
      </c>
    </row>
    <row r="146" spans="2:27" x14ac:dyDescent="0.3">
      <c r="B146" s="57" t="s">
        <v>420</v>
      </c>
      <c r="C146" s="57"/>
      <c r="D146" s="57"/>
      <c r="E146" s="57"/>
      <c r="F146" s="57"/>
      <c r="G146" s="78"/>
      <c r="H146" s="78"/>
      <c r="I146" s="78"/>
      <c r="J146" s="78"/>
      <c r="K146" s="78"/>
      <c r="L146" s="78"/>
      <c r="M146" s="78"/>
      <c r="N146" s="78"/>
      <c r="O146" s="78"/>
      <c r="P146" s="78"/>
      <c r="Q146" s="78"/>
      <c r="R146" s="78"/>
      <c r="S146" s="78"/>
      <c r="T146" s="78"/>
      <c r="U146" s="78"/>
      <c r="V146" s="78"/>
      <c r="W146" s="78"/>
      <c r="X146" s="78"/>
      <c r="Y146" s="78"/>
      <c r="Z146" s="78"/>
      <c r="AA146" s="78"/>
    </row>
    <row r="147" spans="2:27" x14ac:dyDescent="0.3">
      <c r="B147" s="47" t="s">
        <v>420</v>
      </c>
      <c r="C147" s="110"/>
      <c r="D147" s="391"/>
      <c r="E147" s="110"/>
      <c r="F147" s="110"/>
      <c r="G147" s="49">
        <f>+IF($C147&lt;=G$52,$D147*8760*$E147,0)</f>
        <v>0</v>
      </c>
      <c r="H147" s="49">
        <f t="shared" si="73"/>
        <v>0</v>
      </c>
      <c r="I147" s="49">
        <f t="shared" si="73"/>
        <v>0</v>
      </c>
      <c r="J147" s="49">
        <f t="shared" si="73"/>
        <v>0</v>
      </c>
      <c r="K147" s="49">
        <f t="shared" si="73"/>
        <v>0</v>
      </c>
      <c r="L147" s="49">
        <f t="shared" si="73"/>
        <v>0</v>
      </c>
      <c r="M147" s="49">
        <f t="shared" si="73"/>
        <v>0</v>
      </c>
      <c r="N147" s="49">
        <f t="shared" si="73"/>
        <v>0</v>
      </c>
      <c r="O147" s="49">
        <f t="shared" si="73"/>
        <v>0</v>
      </c>
      <c r="P147" s="49">
        <f t="shared" si="73"/>
        <v>0</v>
      </c>
      <c r="Q147" s="49">
        <f t="shared" si="73"/>
        <v>0</v>
      </c>
      <c r="R147" s="49">
        <f t="shared" si="73"/>
        <v>0</v>
      </c>
      <c r="S147" s="49">
        <f t="shared" si="73"/>
        <v>0</v>
      </c>
      <c r="T147" s="49">
        <f t="shared" si="73"/>
        <v>0</v>
      </c>
      <c r="U147" s="49">
        <f t="shared" si="73"/>
        <v>0</v>
      </c>
      <c r="V147" s="49">
        <f t="shared" si="73"/>
        <v>0</v>
      </c>
      <c r="W147" s="49">
        <f t="shared" si="73"/>
        <v>0</v>
      </c>
      <c r="X147" s="49">
        <f t="shared" si="73"/>
        <v>0</v>
      </c>
      <c r="Y147" s="49">
        <f t="shared" si="73"/>
        <v>0</v>
      </c>
      <c r="Z147" s="49">
        <f t="shared" si="73"/>
        <v>0</v>
      </c>
      <c r="AA147" s="49">
        <f t="shared" si="73"/>
        <v>0</v>
      </c>
    </row>
    <row r="148" spans="2:27" x14ac:dyDescent="0.3">
      <c r="B148" s="13"/>
      <c r="C148" s="13"/>
      <c r="D148" s="13"/>
      <c r="E148" s="13"/>
      <c r="F148" s="13"/>
      <c r="G148" s="41"/>
      <c r="H148" s="41"/>
      <c r="I148" s="41"/>
      <c r="J148" s="41"/>
      <c r="K148" s="41"/>
      <c r="L148" s="41"/>
      <c r="M148" s="41"/>
      <c r="N148" s="41"/>
      <c r="O148" s="41"/>
      <c r="P148" s="41"/>
      <c r="Q148" s="41"/>
      <c r="R148" s="41"/>
      <c r="S148" s="41"/>
      <c r="T148" s="41"/>
      <c r="U148" s="41"/>
      <c r="V148" s="41"/>
      <c r="W148" s="41"/>
      <c r="X148" s="41"/>
      <c r="Y148" s="41"/>
      <c r="Z148" s="41"/>
      <c r="AA148" s="41"/>
    </row>
    <row r="149" spans="2:27" x14ac:dyDescent="0.3">
      <c r="B149" s="439"/>
      <c r="C149" s="440"/>
      <c r="D149" s="440"/>
      <c r="E149" s="440"/>
      <c r="F149" s="438"/>
      <c r="G149" s="381">
        <v>2010</v>
      </c>
      <c r="H149" s="381">
        <v>2011</v>
      </c>
      <c r="I149" s="381">
        <v>2012</v>
      </c>
      <c r="J149" s="381">
        <v>2013</v>
      </c>
      <c r="K149" s="381">
        <v>2014</v>
      </c>
      <c r="L149" s="381">
        <v>2015</v>
      </c>
      <c r="M149" s="381">
        <v>2016</v>
      </c>
      <c r="N149" s="381">
        <v>2017</v>
      </c>
      <c r="O149" s="381">
        <v>2018</v>
      </c>
      <c r="P149" s="381">
        <v>2019</v>
      </c>
      <c r="Q149" s="381">
        <v>2020</v>
      </c>
      <c r="R149" s="381">
        <v>2021</v>
      </c>
      <c r="S149" s="381">
        <v>2022</v>
      </c>
      <c r="T149" s="381">
        <v>2023</v>
      </c>
      <c r="U149" s="381">
        <v>2024</v>
      </c>
      <c r="V149" s="381">
        <v>2025</v>
      </c>
      <c r="W149" s="381">
        <v>2026</v>
      </c>
      <c r="X149" s="381">
        <v>2027</v>
      </c>
      <c r="Y149" s="381">
        <v>2028</v>
      </c>
      <c r="Z149" s="381">
        <v>2029</v>
      </c>
      <c r="AA149" s="381">
        <v>2030</v>
      </c>
    </row>
    <row r="150" spans="2:27" ht="28.8" x14ac:dyDescent="0.3">
      <c r="B150" s="84" t="s">
        <v>164</v>
      </c>
      <c r="C150" s="80" t="s">
        <v>279</v>
      </c>
      <c r="D150" s="389" t="s">
        <v>397</v>
      </c>
      <c r="E150" s="388" t="s">
        <v>247</v>
      </c>
      <c r="F150" s="388"/>
      <c r="G150" s="79" t="s">
        <v>197</v>
      </c>
      <c r="H150" s="79" t="s">
        <v>197</v>
      </c>
      <c r="I150" s="79" t="s">
        <v>197</v>
      </c>
      <c r="J150" s="79" t="s">
        <v>197</v>
      </c>
      <c r="K150" s="79" t="s">
        <v>197</v>
      </c>
      <c r="L150" s="79" t="s">
        <v>197</v>
      </c>
      <c r="M150" s="79" t="s">
        <v>197</v>
      </c>
      <c r="N150" s="79" t="s">
        <v>197</v>
      </c>
      <c r="O150" s="79" t="s">
        <v>197</v>
      </c>
      <c r="P150" s="79" t="s">
        <v>197</v>
      </c>
      <c r="Q150" s="79" t="s">
        <v>197</v>
      </c>
      <c r="R150" s="79" t="s">
        <v>197</v>
      </c>
      <c r="S150" s="79" t="s">
        <v>197</v>
      </c>
      <c r="T150" s="79" t="s">
        <v>197</v>
      </c>
      <c r="U150" s="79" t="s">
        <v>197</v>
      </c>
      <c r="V150" s="79" t="s">
        <v>197</v>
      </c>
      <c r="W150" s="79" t="s">
        <v>197</v>
      </c>
      <c r="X150" s="79" t="s">
        <v>197</v>
      </c>
      <c r="Y150" s="79" t="s">
        <v>197</v>
      </c>
      <c r="Z150" s="79" t="s">
        <v>197</v>
      </c>
      <c r="AA150" s="79" t="s">
        <v>197</v>
      </c>
    </row>
    <row r="151" spans="2:27" x14ac:dyDescent="0.3">
      <c r="B151" s="7" t="s">
        <v>10</v>
      </c>
      <c r="C151" s="11"/>
      <c r="D151" s="11"/>
      <c r="E151" s="11"/>
      <c r="F151" s="11"/>
      <c r="G151" s="85">
        <f>+SUM(G152:G165)</f>
        <v>0</v>
      </c>
      <c r="H151" s="85">
        <f t="shared" ref="H151:N151" si="74">+SUM(H152:H156)</f>
        <v>0</v>
      </c>
      <c r="I151" s="85">
        <f t="shared" si="74"/>
        <v>0</v>
      </c>
      <c r="J151" s="85">
        <f t="shared" si="74"/>
        <v>0</v>
      </c>
      <c r="K151" s="85">
        <f t="shared" si="74"/>
        <v>0</v>
      </c>
      <c r="L151" s="85">
        <f t="shared" si="74"/>
        <v>0</v>
      </c>
      <c r="M151" s="85">
        <f t="shared" si="74"/>
        <v>0</v>
      </c>
      <c r="N151" s="85">
        <f t="shared" si="74"/>
        <v>0</v>
      </c>
      <c r="O151" s="85">
        <f>+SUM(O152:O165)</f>
        <v>136656</v>
      </c>
      <c r="P151" s="85">
        <f t="shared" ref="P151:Z151" si="75">+SUM(P152:P165)</f>
        <v>346896</v>
      </c>
      <c r="Q151" s="85">
        <f t="shared" si="75"/>
        <v>357408</v>
      </c>
      <c r="R151" s="85">
        <f t="shared" si="75"/>
        <v>357408</v>
      </c>
      <c r="S151" s="85">
        <f t="shared" si="75"/>
        <v>357408</v>
      </c>
      <c r="T151" s="85">
        <f t="shared" si="75"/>
        <v>357408</v>
      </c>
      <c r="U151" s="85">
        <f t="shared" si="75"/>
        <v>357408</v>
      </c>
      <c r="V151" s="85">
        <f t="shared" si="75"/>
        <v>357408</v>
      </c>
      <c r="W151" s="85">
        <f>+SUM(W152:W165)</f>
        <v>357408</v>
      </c>
      <c r="X151" s="85">
        <f t="shared" si="75"/>
        <v>357408</v>
      </c>
      <c r="Y151" s="85">
        <f t="shared" si="75"/>
        <v>357408</v>
      </c>
      <c r="Z151" s="85">
        <f t="shared" si="75"/>
        <v>357408</v>
      </c>
      <c r="AA151" s="85">
        <f>+SUM(AA152:AA165)</f>
        <v>777888</v>
      </c>
    </row>
    <row r="152" spans="2:27" x14ac:dyDescent="0.3">
      <c r="B152" s="57" t="s">
        <v>411</v>
      </c>
      <c r="C152" s="57"/>
      <c r="D152" s="57"/>
      <c r="E152" s="57"/>
      <c r="F152" s="57"/>
      <c r="G152" s="78"/>
      <c r="H152" s="78"/>
      <c r="I152" s="78"/>
      <c r="J152" s="78"/>
      <c r="K152" s="78"/>
      <c r="L152" s="78"/>
      <c r="M152" s="78"/>
      <c r="N152" s="78"/>
      <c r="O152" s="78"/>
      <c r="P152" s="78"/>
      <c r="Q152" s="78"/>
      <c r="R152" s="78"/>
      <c r="S152" s="78"/>
      <c r="T152" s="78"/>
      <c r="U152" s="78"/>
      <c r="V152" s="78"/>
      <c r="W152" s="78"/>
      <c r="X152" s="78"/>
      <c r="Y152" s="78"/>
      <c r="Z152" s="78"/>
      <c r="AA152" s="78"/>
    </row>
    <row r="153" spans="2:27" x14ac:dyDescent="0.3">
      <c r="B153" s="47" t="s">
        <v>234</v>
      </c>
      <c r="C153" s="110">
        <v>2019</v>
      </c>
      <c r="D153" s="426">
        <v>50</v>
      </c>
      <c r="E153" s="110">
        <v>0.24</v>
      </c>
      <c r="F153" s="110"/>
      <c r="G153" s="49">
        <f>+IF($C153&lt;=G$52,$D153*8760*$E153,0)</f>
        <v>0</v>
      </c>
      <c r="H153" s="49">
        <f t="shared" ref="H153:Z153" si="76">+IF($C153&lt;=H$52,$D153*8760*$E153,0)</f>
        <v>0</v>
      </c>
      <c r="I153" s="49">
        <f t="shared" si="76"/>
        <v>0</v>
      </c>
      <c r="J153" s="49">
        <f t="shared" si="76"/>
        <v>0</v>
      </c>
      <c r="K153" s="49">
        <f t="shared" si="76"/>
        <v>0</v>
      </c>
      <c r="L153" s="49">
        <f t="shared" si="76"/>
        <v>0</v>
      </c>
      <c r="M153" s="49">
        <f t="shared" si="76"/>
        <v>0</v>
      </c>
      <c r="N153" s="49">
        <f t="shared" si="76"/>
        <v>0</v>
      </c>
      <c r="O153" s="49">
        <f t="shared" si="76"/>
        <v>0</v>
      </c>
      <c r="P153" s="49">
        <f t="shared" si="76"/>
        <v>105120</v>
      </c>
      <c r="Q153" s="49">
        <f t="shared" si="76"/>
        <v>105120</v>
      </c>
      <c r="R153" s="49">
        <f t="shared" si="76"/>
        <v>105120</v>
      </c>
      <c r="S153" s="49">
        <f t="shared" si="76"/>
        <v>105120</v>
      </c>
      <c r="T153" s="49">
        <f t="shared" si="76"/>
        <v>105120</v>
      </c>
      <c r="U153" s="49">
        <f t="shared" si="76"/>
        <v>105120</v>
      </c>
      <c r="V153" s="49">
        <f t="shared" si="76"/>
        <v>105120</v>
      </c>
      <c r="W153" s="49">
        <f t="shared" si="76"/>
        <v>105120</v>
      </c>
      <c r="X153" s="49">
        <f t="shared" si="76"/>
        <v>105120</v>
      </c>
      <c r="Y153" s="49">
        <f t="shared" si="76"/>
        <v>105120</v>
      </c>
      <c r="Z153" s="49">
        <f t="shared" si="76"/>
        <v>105120</v>
      </c>
      <c r="AA153" s="49">
        <f>+IF($C153&lt;=AA$52,$D153*8760*$E153,0)</f>
        <v>105120</v>
      </c>
    </row>
    <row r="154" spans="2:27" x14ac:dyDescent="0.3">
      <c r="B154" s="57" t="s">
        <v>411</v>
      </c>
      <c r="C154" s="57"/>
      <c r="D154" s="432"/>
      <c r="E154" s="57"/>
      <c r="F154" s="57"/>
      <c r="G154" s="78"/>
      <c r="H154" s="78"/>
      <c r="I154" s="78"/>
      <c r="J154" s="78"/>
      <c r="K154" s="78"/>
      <c r="L154" s="78"/>
      <c r="M154" s="78"/>
      <c r="N154" s="78"/>
      <c r="O154" s="78"/>
      <c r="P154" s="78"/>
      <c r="Q154" s="78"/>
      <c r="R154" s="78"/>
      <c r="S154" s="78"/>
      <c r="T154" s="78"/>
      <c r="U154" s="78"/>
      <c r="V154" s="78"/>
      <c r="W154" s="78"/>
      <c r="X154" s="78"/>
      <c r="Y154" s="78"/>
      <c r="Z154" s="78"/>
      <c r="AA154" s="78"/>
    </row>
    <row r="155" spans="2:27" x14ac:dyDescent="0.3">
      <c r="B155" s="47" t="s">
        <v>234</v>
      </c>
      <c r="C155" s="110">
        <v>2019</v>
      </c>
      <c r="D155" s="426">
        <v>50</v>
      </c>
      <c r="E155" s="110">
        <v>0.24</v>
      </c>
      <c r="F155" s="110"/>
      <c r="G155" s="49">
        <f>+IF($C155&lt;=G$52,$D155*8760*$E155,0)</f>
        <v>0</v>
      </c>
      <c r="H155" s="49">
        <f t="shared" ref="H155:Z155" si="77">+IF($C155&lt;=H$52,$D155*8760*$E155,0)</f>
        <v>0</v>
      </c>
      <c r="I155" s="49">
        <f t="shared" si="77"/>
        <v>0</v>
      </c>
      <c r="J155" s="49">
        <f t="shared" si="77"/>
        <v>0</v>
      </c>
      <c r="K155" s="49">
        <f t="shared" si="77"/>
        <v>0</v>
      </c>
      <c r="L155" s="49">
        <f t="shared" si="77"/>
        <v>0</v>
      </c>
      <c r="M155" s="49">
        <f t="shared" si="77"/>
        <v>0</v>
      </c>
      <c r="N155" s="49">
        <f t="shared" si="77"/>
        <v>0</v>
      </c>
      <c r="O155" s="49">
        <f t="shared" si="77"/>
        <v>0</v>
      </c>
      <c r="P155" s="49">
        <f t="shared" si="77"/>
        <v>105120</v>
      </c>
      <c r="Q155" s="49">
        <f t="shared" si="77"/>
        <v>105120</v>
      </c>
      <c r="R155" s="49">
        <f t="shared" si="77"/>
        <v>105120</v>
      </c>
      <c r="S155" s="49">
        <f t="shared" si="77"/>
        <v>105120</v>
      </c>
      <c r="T155" s="49">
        <f t="shared" si="77"/>
        <v>105120</v>
      </c>
      <c r="U155" s="49">
        <f t="shared" si="77"/>
        <v>105120</v>
      </c>
      <c r="V155" s="49">
        <f t="shared" si="77"/>
        <v>105120</v>
      </c>
      <c r="W155" s="49">
        <f t="shared" si="77"/>
        <v>105120</v>
      </c>
      <c r="X155" s="49">
        <f t="shared" si="77"/>
        <v>105120</v>
      </c>
      <c r="Y155" s="49">
        <f t="shared" si="77"/>
        <v>105120</v>
      </c>
      <c r="Z155" s="49">
        <f t="shared" si="77"/>
        <v>105120</v>
      </c>
      <c r="AA155" s="49">
        <f>+IF($C155&lt;=AA$52,$D155*8760*$E155,0)</f>
        <v>105120</v>
      </c>
    </row>
    <row r="156" spans="2:27" x14ac:dyDescent="0.3">
      <c r="B156" s="57" t="s">
        <v>44</v>
      </c>
      <c r="C156" s="57"/>
      <c r="D156" s="57"/>
      <c r="E156" s="57"/>
      <c r="F156" s="57"/>
      <c r="G156" s="78"/>
      <c r="H156" s="78"/>
      <c r="I156" s="78"/>
      <c r="J156" s="78"/>
      <c r="K156" s="78"/>
      <c r="L156" s="78"/>
      <c r="M156" s="78"/>
      <c r="N156" s="78"/>
      <c r="O156" s="78"/>
      <c r="P156" s="78"/>
      <c r="Q156" s="78"/>
      <c r="R156" s="78"/>
      <c r="S156" s="78"/>
      <c r="T156" s="78"/>
      <c r="U156" s="78"/>
      <c r="V156" s="78"/>
      <c r="W156" s="78"/>
      <c r="X156" s="78"/>
      <c r="Y156" s="78"/>
      <c r="Z156" s="78"/>
      <c r="AA156" s="78"/>
    </row>
    <row r="157" spans="2:27" x14ac:dyDescent="0.3">
      <c r="B157" s="47" t="s">
        <v>44</v>
      </c>
      <c r="C157" s="390">
        <v>2018</v>
      </c>
      <c r="D157" s="426">
        <v>60</v>
      </c>
      <c r="E157" s="110">
        <v>0.24</v>
      </c>
      <c r="F157" s="110"/>
      <c r="G157" s="49">
        <f>+IF($C157&lt;=G$52,$D157*8760*$E157,0)</f>
        <v>0</v>
      </c>
      <c r="H157" s="49">
        <f t="shared" ref="H157:Z157" si="78">+IF($C157&lt;=H$52,$D157*8760*$E157,0)</f>
        <v>0</v>
      </c>
      <c r="I157" s="49">
        <f t="shared" si="78"/>
        <v>0</v>
      </c>
      <c r="J157" s="49">
        <f t="shared" si="78"/>
        <v>0</v>
      </c>
      <c r="K157" s="49">
        <f t="shared" si="78"/>
        <v>0</v>
      </c>
      <c r="L157" s="49">
        <f t="shared" si="78"/>
        <v>0</v>
      </c>
      <c r="M157" s="49">
        <f t="shared" si="78"/>
        <v>0</v>
      </c>
      <c r="N157" s="49">
        <f t="shared" si="78"/>
        <v>0</v>
      </c>
      <c r="O157" s="49">
        <f t="shared" si="78"/>
        <v>126144</v>
      </c>
      <c r="P157" s="49">
        <f t="shared" si="78"/>
        <v>126144</v>
      </c>
      <c r="Q157" s="49">
        <f t="shared" si="78"/>
        <v>126144</v>
      </c>
      <c r="R157" s="49">
        <f t="shared" si="78"/>
        <v>126144</v>
      </c>
      <c r="S157" s="49">
        <f t="shared" si="78"/>
        <v>126144</v>
      </c>
      <c r="T157" s="49">
        <f t="shared" si="78"/>
        <v>126144</v>
      </c>
      <c r="U157" s="49">
        <f t="shared" si="78"/>
        <v>126144</v>
      </c>
      <c r="V157" s="49">
        <f t="shared" si="78"/>
        <v>126144</v>
      </c>
      <c r="W157" s="49">
        <f t="shared" si="78"/>
        <v>126144</v>
      </c>
      <c r="X157" s="49">
        <f t="shared" si="78"/>
        <v>126144</v>
      </c>
      <c r="Y157" s="49">
        <f t="shared" si="78"/>
        <v>126144</v>
      </c>
      <c r="Z157" s="49">
        <f t="shared" si="78"/>
        <v>126144</v>
      </c>
      <c r="AA157" s="49">
        <f>+IF($C157&lt;=AA$52,$D157*8760*$E157,0)</f>
        <v>126144</v>
      </c>
    </row>
    <row r="158" spans="2:27" x14ac:dyDescent="0.3">
      <c r="B158" s="57" t="s">
        <v>11</v>
      </c>
      <c r="C158" s="57"/>
      <c r="D158" s="57"/>
      <c r="E158" s="57"/>
      <c r="F158" s="57"/>
      <c r="G158" s="78"/>
      <c r="H158" s="78"/>
      <c r="I158" s="78"/>
      <c r="J158" s="78"/>
      <c r="K158" s="78"/>
      <c r="L158" s="78"/>
      <c r="M158" s="78"/>
      <c r="N158" s="78"/>
      <c r="O158" s="78"/>
      <c r="P158" s="78"/>
      <c r="Q158" s="78"/>
      <c r="R158" s="78"/>
      <c r="S158" s="78"/>
      <c r="T158" s="78"/>
      <c r="U158" s="78"/>
      <c r="V158" s="78"/>
      <c r="W158" s="78"/>
      <c r="X158" s="78"/>
      <c r="Y158" s="78"/>
      <c r="Z158" s="78"/>
      <c r="AA158" s="78"/>
    </row>
    <row r="159" spans="2:27" x14ac:dyDescent="0.3">
      <c r="B159" s="47" t="s">
        <v>11</v>
      </c>
      <c r="C159" s="390">
        <v>2018</v>
      </c>
      <c r="D159" s="426">
        <v>5</v>
      </c>
      <c r="E159" s="110">
        <v>0.24</v>
      </c>
      <c r="F159" s="110"/>
      <c r="G159" s="49">
        <f>+IF($C159&lt;=G$52,$D159*8760*$E159,0)</f>
        <v>0</v>
      </c>
      <c r="H159" s="49">
        <f t="shared" ref="H159:Z159" si="79">+IF($C159&lt;=H$52,$D159*8760*$E159,0)</f>
        <v>0</v>
      </c>
      <c r="I159" s="49">
        <f t="shared" si="79"/>
        <v>0</v>
      </c>
      <c r="J159" s="49">
        <f t="shared" si="79"/>
        <v>0</v>
      </c>
      <c r="K159" s="49">
        <f t="shared" si="79"/>
        <v>0</v>
      </c>
      <c r="L159" s="49">
        <f t="shared" si="79"/>
        <v>0</v>
      </c>
      <c r="M159" s="49">
        <f t="shared" si="79"/>
        <v>0</v>
      </c>
      <c r="N159" s="49">
        <f t="shared" si="79"/>
        <v>0</v>
      </c>
      <c r="O159" s="49">
        <f t="shared" si="79"/>
        <v>10512</v>
      </c>
      <c r="P159" s="49">
        <f t="shared" si="79"/>
        <v>10512</v>
      </c>
      <c r="Q159" s="49">
        <f t="shared" si="79"/>
        <v>10512</v>
      </c>
      <c r="R159" s="49">
        <f t="shared" si="79"/>
        <v>10512</v>
      </c>
      <c r="S159" s="49">
        <f t="shared" si="79"/>
        <v>10512</v>
      </c>
      <c r="T159" s="49">
        <f t="shared" si="79"/>
        <v>10512</v>
      </c>
      <c r="U159" s="49">
        <f t="shared" si="79"/>
        <v>10512</v>
      </c>
      <c r="V159" s="49">
        <f t="shared" si="79"/>
        <v>10512</v>
      </c>
      <c r="W159" s="49">
        <f t="shared" si="79"/>
        <v>10512</v>
      </c>
      <c r="X159" s="49">
        <f t="shared" si="79"/>
        <v>10512</v>
      </c>
      <c r="Y159" s="49">
        <f t="shared" si="79"/>
        <v>10512</v>
      </c>
      <c r="Z159" s="49">
        <f t="shared" si="79"/>
        <v>10512</v>
      </c>
      <c r="AA159" s="49">
        <f>+IF($C159&lt;=AA$52,$D159*8760*$E159,0)</f>
        <v>10512</v>
      </c>
    </row>
    <row r="160" spans="2:27" x14ac:dyDescent="0.3">
      <c r="B160" s="57" t="s">
        <v>473</v>
      </c>
      <c r="C160" s="57"/>
      <c r="D160" s="57"/>
      <c r="E160" s="57"/>
      <c r="F160" s="57"/>
      <c r="G160" s="78"/>
      <c r="H160" s="78"/>
      <c r="I160" s="78"/>
      <c r="J160" s="78"/>
      <c r="K160" s="78"/>
      <c r="L160" s="78"/>
      <c r="M160" s="78"/>
      <c r="N160" s="78"/>
      <c r="O160" s="78"/>
      <c r="P160" s="78"/>
      <c r="Q160" s="78"/>
      <c r="R160" s="78"/>
      <c r="S160" s="78"/>
      <c r="T160" s="78"/>
      <c r="U160" s="78"/>
      <c r="V160" s="78"/>
      <c r="W160" s="78"/>
      <c r="X160" s="78"/>
      <c r="Y160" s="78"/>
      <c r="Z160" s="78"/>
      <c r="AA160" s="78"/>
    </row>
    <row r="161" spans="2:27" x14ac:dyDescent="0.3">
      <c r="B161" s="47" t="str">
        <f>B160</f>
        <v>Riberalta - Guayamerin</v>
      </c>
      <c r="C161" s="390">
        <v>2020</v>
      </c>
      <c r="D161" s="426">
        <v>5</v>
      </c>
      <c r="E161" s="110">
        <v>0.24</v>
      </c>
      <c r="F161" s="110"/>
      <c r="G161" s="49">
        <f>+IF($C161&lt;=G$52,$D161*8760*$E161,0)</f>
        <v>0</v>
      </c>
      <c r="H161" s="49">
        <f t="shared" ref="H161:Z161" si="80">+IF($C161&lt;=H$52,$D161*8760*$E161,0)</f>
        <v>0</v>
      </c>
      <c r="I161" s="49">
        <f t="shared" si="80"/>
        <v>0</v>
      </c>
      <c r="J161" s="49">
        <f t="shared" si="80"/>
        <v>0</v>
      </c>
      <c r="K161" s="49">
        <f t="shared" si="80"/>
        <v>0</v>
      </c>
      <c r="L161" s="49">
        <f t="shared" si="80"/>
        <v>0</v>
      </c>
      <c r="M161" s="49">
        <f t="shared" si="80"/>
        <v>0</v>
      </c>
      <c r="N161" s="49">
        <f t="shared" si="80"/>
        <v>0</v>
      </c>
      <c r="O161" s="49">
        <f t="shared" si="80"/>
        <v>0</v>
      </c>
      <c r="P161" s="49">
        <f t="shared" si="80"/>
        <v>0</v>
      </c>
      <c r="Q161" s="49">
        <f t="shared" si="80"/>
        <v>10512</v>
      </c>
      <c r="R161" s="49">
        <f t="shared" si="80"/>
        <v>10512</v>
      </c>
      <c r="S161" s="49">
        <f t="shared" si="80"/>
        <v>10512</v>
      </c>
      <c r="T161" s="49">
        <f t="shared" si="80"/>
        <v>10512</v>
      </c>
      <c r="U161" s="49">
        <f t="shared" si="80"/>
        <v>10512</v>
      </c>
      <c r="V161" s="49">
        <f t="shared" si="80"/>
        <v>10512</v>
      </c>
      <c r="W161" s="49">
        <f t="shared" si="80"/>
        <v>10512</v>
      </c>
      <c r="X161" s="49">
        <f t="shared" si="80"/>
        <v>10512</v>
      </c>
      <c r="Y161" s="49">
        <f t="shared" si="80"/>
        <v>10512</v>
      </c>
      <c r="Z161" s="49">
        <f t="shared" si="80"/>
        <v>10512</v>
      </c>
      <c r="AA161" s="49">
        <f>+IF($C161&lt;=AA$52,$D161*8760*$E161,0)</f>
        <v>10512</v>
      </c>
    </row>
    <row r="162" spans="2:27" x14ac:dyDescent="0.3">
      <c r="B162" s="57" t="s">
        <v>421</v>
      </c>
      <c r="C162" s="57"/>
      <c r="D162" s="57"/>
      <c r="E162" s="57"/>
      <c r="F162" s="57"/>
      <c r="G162" s="78"/>
      <c r="H162" s="78"/>
      <c r="I162" s="78"/>
      <c r="J162" s="78"/>
      <c r="K162" s="78"/>
      <c r="L162" s="78"/>
      <c r="M162" s="78"/>
      <c r="N162" s="78"/>
      <c r="O162" s="78"/>
      <c r="P162" s="78"/>
      <c r="Q162" s="78"/>
      <c r="R162" s="78"/>
      <c r="S162" s="78"/>
      <c r="T162" s="78"/>
      <c r="U162" s="78"/>
      <c r="V162" s="78"/>
      <c r="W162" s="78"/>
      <c r="X162" s="78"/>
      <c r="Y162" s="78"/>
      <c r="Z162" s="78"/>
      <c r="AA162" s="78"/>
    </row>
    <row r="163" spans="2:27" x14ac:dyDescent="0.3">
      <c r="B163" s="47" t="str">
        <f>+B162</f>
        <v>Solar A</v>
      </c>
      <c r="C163" s="110">
        <v>2030</v>
      </c>
      <c r="D163" s="426">
        <v>200</v>
      </c>
      <c r="E163" s="110">
        <v>0.24</v>
      </c>
      <c r="F163" s="110"/>
      <c r="G163" s="49">
        <f>+IF($C163&lt;=G$52,$D163*8760*$E163,0)</f>
        <v>0</v>
      </c>
      <c r="H163" s="49">
        <f t="shared" ref="H163:Z165" si="81">+IF($C163&lt;=H$52,$D163*8760*$E163,0)</f>
        <v>0</v>
      </c>
      <c r="I163" s="49">
        <f t="shared" si="81"/>
        <v>0</v>
      </c>
      <c r="J163" s="49">
        <f t="shared" si="81"/>
        <v>0</v>
      </c>
      <c r="K163" s="49">
        <f t="shared" si="81"/>
        <v>0</v>
      </c>
      <c r="L163" s="49">
        <f t="shared" si="81"/>
        <v>0</v>
      </c>
      <c r="M163" s="49">
        <f t="shared" si="81"/>
        <v>0</v>
      </c>
      <c r="N163" s="49">
        <f t="shared" si="81"/>
        <v>0</v>
      </c>
      <c r="O163" s="49">
        <f t="shared" si="81"/>
        <v>0</v>
      </c>
      <c r="P163" s="49">
        <f t="shared" si="81"/>
        <v>0</v>
      </c>
      <c r="Q163" s="49">
        <f t="shared" si="81"/>
        <v>0</v>
      </c>
      <c r="R163" s="49">
        <f t="shared" si="81"/>
        <v>0</v>
      </c>
      <c r="S163" s="49">
        <f t="shared" si="81"/>
        <v>0</v>
      </c>
      <c r="T163" s="49">
        <f t="shared" si="81"/>
        <v>0</v>
      </c>
      <c r="U163" s="49">
        <f t="shared" si="81"/>
        <v>0</v>
      </c>
      <c r="V163" s="49">
        <f t="shared" si="81"/>
        <v>0</v>
      </c>
      <c r="W163" s="49">
        <f t="shared" si="81"/>
        <v>0</v>
      </c>
      <c r="X163" s="49">
        <f t="shared" si="81"/>
        <v>0</v>
      </c>
      <c r="Y163" s="49">
        <f t="shared" si="81"/>
        <v>0</v>
      </c>
      <c r="Z163" s="49">
        <f t="shared" si="81"/>
        <v>0</v>
      </c>
      <c r="AA163" s="49">
        <f>+IF($C163&lt;=AA$52,$D163*8760*$E163,0)</f>
        <v>420480</v>
      </c>
    </row>
    <row r="164" spans="2:27" x14ac:dyDescent="0.3">
      <c r="B164" s="57" t="s">
        <v>422</v>
      </c>
      <c r="C164" s="57"/>
      <c r="D164" s="57"/>
      <c r="E164" s="57"/>
      <c r="F164" s="57"/>
      <c r="G164" s="78"/>
      <c r="H164" s="78"/>
      <c r="I164" s="78"/>
      <c r="J164" s="78"/>
      <c r="K164" s="78"/>
      <c r="L164" s="78"/>
      <c r="M164" s="78"/>
      <c r="N164" s="78"/>
      <c r="O164" s="78"/>
      <c r="P164" s="78"/>
      <c r="Q164" s="78"/>
      <c r="R164" s="78"/>
      <c r="S164" s="78"/>
      <c r="T164" s="78"/>
      <c r="U164" s="78"/>
      <c r="V164" s="78"/>
      <c r="W164" s="78"/>
      <c r="X164" s="78"/>
      <c r="Y164" s="78"/>
      <c r="Z164" s="78"/>
      <c r="AA164" s="78"/>
    </row>
    <row r="165" spans="2:27" x14ac:dyDescent="0.3">
      <c r="B165" s="47" t="str">
        <f>B164</f>
        <v>Solar B</v>
      </c>
      <c r="C165" s="110"/>
      <c r="D165" s="391"/>
      <c r="E165" s="110"/>
      <c r="F165" s="110"/>
      <c r="G165" s="49">
        <f>+IF($C165&lt;=G$52,$D165*8760*$E165,0)</f>
        <v>0</v>
      </c>
      <c r="H165" s="49">
        <f t="shared" si="81"/>
        <v>0</v>
      </c>
      <c r="I165" s="49">
        <f t="shared" si="81"/>
        <v>0</v>
      </c>
      <c r="J165" s="49">
        <f t="shared" si="81"/>
        <v>0</v>
      </c>
      <c r="K165" s="49">
        <f t="shared" si="81"/>
        <v>0</v>
      </c>
      <c r="L165" s="49">
        <f t="shared" si="81"/>
        <v>0</v>
      </c>
      <c r="M165" s="49">
        <f t="shared" si="81"/>
        <v>0</v>
      </c>
      <c r="N165" s="49">
        <f t="shared" si="81"/>
        <v>0</v>
      </c>
      <c r="O165" s="49">
        <f t="shared" si="81"/>
        <v>0</v>
      </c>
      <c r="P165" s="49">
        <f t="shared" si="81"/>
        <v>0</v>
      </c>
      <c r="Q165" s="49">
        <f t="shared" si="81"/>
        <v>0</v>
      </c>
      <c r="R165" s="49">
        <f t="shared" si="81"/>
        <v>0</v>
      </c>
      <c r="S165" s="49">
        <f t="shared" si="81"/>
        <v>0</v>
      </c>
      <c r="T165" s="49">
        <f t="shared" si="81"/>
        <v>0</v>
      </c>
      <c r="U165" s="49">
        <f t="shared" si="81"/>
        <v>0</v>
      </c>
      <c r="V165" s="49">
        <f t="shared" si="81"/>
        <v>0</v>
      </c>
      <c r="W165" s="49">
        <f t="shared" si="81"/>
        <v>0</v>
      </c>
      <c r="X165" s="49">
        <f t="shared" si="81"/>
        <v>0</v>
      </c>
      <c r="Y165" s="49">
        <f t="shared" si="81"/>
        <v>0</v>
      </c>
      <c r="Z165" s="49">
        <f t="shared" si="81"/>
        <v>0</v>
      </c>
      <c r="AA165" s="49">
        <f>+IF($C165&lt;=AA$52,$D165*8760*$E165,0)</f>
        <v>0</v>
      </c>
    </row>
    <row r="166" spans="2:27" x14ac:dyDescent="0.3">
      <c r="B166" s="13"/>
      <c r="C166" s="13"/>
      <c r="D166" s="13"/>
      <c r="E166" s="13"/>
      <c r="F166" s="13"/>
      <c r="G166" s="41"/>
      <c r="H166" s="41"/>
      <c r="I166" s="41"/>
      <c r="J166" s="41"/>
      <c r="K166" s="41"/>
      <c r="L166" s="41"/>
      <c r="M166" s="41"/>
      <c r="N166" s="41"/>
      <c r="O166" s="41"/>
      <c r="P166" s="41"/>
      <c r="Q166" s="41"/>
      <c r="R166" s="41"/>
      <c r="S166" s="41"/>
      <c r="T166" s="41"/>
      <c r="U166" s="41"/>
      <c r="V166" s="41"/>
      <c r="W166" s="41"/>
      <c r="X166" s="41"/>
      <c r="Y166" s="41"/>
      <c r="Z166" s="41"/>
      <c r="AA166" s="41"/>
    </row>
    <row r="167" spans="2:27" x14ac:dyDescent="0.3">
      <c r="B167" s="439"/>
      <c r="C167" s="440"/>
      <c r="D167" s="440"/>
      <c r="E167" s="440"/>
      <c r="F167" s="438"/>
      <c r="G167" s="381">
        <v>2010</v>
      </c>
      <c r="H167" s="381">
        <v>2011</v>
      </c>
      <c r="I167" s="381">
        <v>2012</v>
      </c>
      <c r="J167" s="381">
        <v>2013</v>
      </c>
      <c r="K167" s="381">
        <v>2014</v>
      </c>
      <c r="L167" s="381">
        <v>2015</v>
      </c>
      <c r="M167" s="381">
        <v>2016</v>
      </c>
      <c r="N167" s="381">
        <v>2017</v>
      </c>
      <c r="O167" s="381">
        <v>2018</v>
      </c>
      <c r="P167" s="381">
        <v>2019</v>
      </c>
      <c r="Q167" s="381">
        <v>2020</v>
      </c>
      <c r="R167" s="381">
        <v>2021</v>
      </c>
      <c r="S167" s="381">
        <v>2022</v>
      </c>
      <c r="T167" s="381">
        <v>2023</v>
      </c>
      <c r="U167" s="381">
        <v>2024</v>
      </c>
      <c r="V167" s="381">
        <v>2025</v>
      </c>
      <c r="W167" s="381">
        <v>2026</v>
      </c>
      <c r="X167" s="381">
        <v>2027</v>
      </c>
      <c r="Y167" s="381">
        <v>2028</v>
      </c>
      <c r="Z167" s="381">
        <v>2029</v>
      </c>
      <c r="AA167" s="381">
        <v>2030</v>
      </c>
    </row>
    <row r="168" spans="2:27" ht="28.8" x14ac:dyDescent="0.3">
      <c r="B168" s="84" t="s">
        <v>164</v>
      </c>
      <c r="C168" s="80" t="s">
        <v>279</v>
      </c>
      <c r="D168" s="389" t="s">
        <v>397</v>
      </c>
      <c r="E168" s="388" t="s">
        <v>247</v>
      </c>
      <c r="F168" s="388"/>
      <c r="G168" s="79" t="s">
        <v>197</v>
      </c>
      <c r="H168" s="79" t="s">
        <v>197</v>
      </c>
      <c r="I168" s="79" t="s">
        <v>197</v>
      </c>
      <c r="J168" s="79" t="s">
        <v>197</v>
      </c>
      <c r="K168" s="79" t="s">
        <v>197</v>
      </c>
      <c r="L168" s="79" t="s">
        <v>197</v>
      </c>
      <c r="M168" s="79" t="s">
        <v>197</v>
      </c>
      <c r="N168" s="79" t="s">
        <v>197</v>
      </c>
      <c r="O168" s="79" t="s">
        <v>197</v>
      </c>
      <c r="P168" s="79" t="s">
        <v>197</v>
      </c>
      <c r="Q168" s="79" t="s">
        <v>197</v>
      </c>
      <c r="R168" s="79" t="s">
        <v>197</v>
      </c>
      <c r="S168" s="79" t="s">
        <v>197</v>
      </c>
      <c r="T168" s="79" t="s">
        <v>197</v>
      </c>
      <c r="U168" s="79" t="s">
        <v>197</v>
      </c>
      <c r="V168" s="79" t="s">
        <v>197</v>
      </c>
      <c r="W168" s="79" t="s">
        <v>197</v>
      </c>
      <c r="X168" s="79" t="s">
        <v>197</v>
      </c>
      <c r="Y168" s="79" t="s">
        <v>197</v>
      </c>
      <c r="Z168" s="79" t="s">
        <v>197</v>
      </c>
      <c r="AA168" s="79" t="s">
        <v>197</v>
      </c>
    </row>
    <row r="169" spans="2:27" x14ac:dyDescent="0.3">
      <c r="B169" s="7" t="s">
        <v>50</v>
      </c>
      <c r="C169" s="11"/>
      <c r="D169" s="11"/>
      <c r="E169" s="11"/>
      <c r="F169" s="11"/>
      <c r="G169" s="85">
        <f>+SUM(G170:G173)</f>
        <v>0</v>
      </c>
      <c r="H169" s="85">
        <f t="shared" ref="H169:AA169" si="82">+SUM(H170:H173)</f>
        <v>0</v>
      </c>
      <c r="I169" s="85">
        <f t="shared" si="82"/>
        <v>0</v>
      </c>
      <c r="J169" s="85">
        <f t="shared" si="82"/>
        <v>0</v>
      </c>
      <c r="K169" s="85">
        <f t="shared" si="82"/>
        <v>0</v>
      </c>
      <c r="L169" s="85">
        <f t="shared" si="82"/>
        <v>0</v>
      </c>
      <c r="M169" s="85">
        <f t="shared" si="82"/>
        <v>0</v>
      </c>
      <c r="N169" s="85">
        <f t="shared" si="82"/>
        <v>0</v>
      </c>
      <c r="O169" s="85">
        <f t="shared" si="82"/>
        <v>0</v>
      </c>
      <c r="P169" s="85">
        <f t="shared" si="82"/>
        <v>0</v>
      </c>
      <c r="Q169" s="85">
        <f t="shared" si="82"/>
        <v>37230</v>
      </c>
      <c r="R169" s="85">
        <f t="shared" si="82"/>
        <v>37230</v>
      </c>
      <c r="S169" s="85">
        <f t="shared" si="82"/>
        <v>37230</v>
      </c>
      <c r="T169" s="85">
        <f t="shared" si="82"/>
        <v>781830</v>
      </c>
      <c r="U169" s="85">
        <f t="shared" si="82"/>
        <v>781830</v>
      </c>
      <c r="V169" s="85">
        <f t="shared" si="82"/>
        <v>781830</v>
      </c>
      <c r="W169" s="85">
        <f t="shared" si="82"/>
        <v>781830</v>
      </c>
      <c r="X169" s="85">
        <f t="shared" si="82"/>
        <v>781830</v>
      </c>
      <c r="Y169" s="85">
        <f t="shared" si="82"/>
        <v>781830</v>
      </c>
      <c r="Z169" s="85">
        <f t="shared" si="82"/>
        <v>781830</v>
      </c>
      <c r="AA169" s="85">
        <f t="shared" si="82"/>
        <v>781830</v>
      </c>
    </row>
    <row r="170" spans="2:27" x14ac:dyDescent="0.3">
      <c r="B170" s="57" t="s">
        <v>51</v>
      </c>
      <c r="C170" s="57"/>
      <c r="D170" s="57"/>
      <c r="E170" s="57"/>
      <c r="F170" s="57"/>
      <c r="G170" s="78"/>
      <c r="H170" s="78"/>
      <c r="I170" s="78"/>
      <c r="J170" s="78"/>
      <c r="K170" s="78"/>
      <c r="L170" s="78"/>
      <c r="M170" s="78"/>
      <c r="N170" s="78"/>
      <c r="O170" s="78"/>
      <c r="P170" s="78"/>
      <c r="Q170" s="78"/>
      <c r="R170" s="78"/>
      <c r="S170" s="78"/>
      <c r="T170" s="78"/>
      <c r="U170" s="78"/>
      <c r="V170" s="78"/>
      <c r="W170" s="78"/>
      <c r="X170" s="78"/>
      <c r="Y170" s="78"/>
      <c r="Z170" s="78"/>
      <c r="AA170" s="78"/>
    </row>
    <row r="171" spans="2:27" x14ac:dyDescent="0.3">
      <c r="B171" s="47" t="s">
        <v>51</v>
      </c>
      <c r="C171" s="390">
        <v>2020</v>
      </c>
      <c r="D171" s="426">
        <v>5</v>
      </c>
      <c r="E171" s="110">
        <v>0.85</v>
      </c>
      <c r="F171" s="110"/>
      <c r="G171" s="49">
        <f>+IF($C171&lt;=G$52,$D171*8760*$E171,0)</f>
        <v>0</v>
      </c>
      <c r="H171" s="49">
        <f t="shared" ref="H171:AA173" si="83">+IF($C171&lt;=H$52,$D171*8760*$E171,0)</f>
        <v>0</v>
      </c>
      <c r="I171" s="49">
        <f t="shared" si="83"/>
        <v>0</v>
      </c>
      <c r="J171" s="49">
        <f t="shared" si="83"/>
        <v>0</v>
      </c>
      <c r="K171" s="49">
        <f t="shared" si="83"/>
        <v>0</v>
      </c>
      <c r="L171" s="49">
        <f t="shared" si="83"/>
        <v>0</v>
      </c>
      <c r="M171" s="49">
        <f t="shared" si="83"/>
        <v>0</v>
      </c>
      <c r="N171" s="49">
        <f t="shared" si="83"/>
        <v>0</v>
      </c>
      <c r="O171" s="49">
        <f t="shared" si="83"/>
        <v>0</v>
      </c>
      <c r="P171" s="49">
        <f t="shared" si="83"/>
        <v>0</v>
      </c>
      <c r="Q171" s="49">
        <f t="shared" si="83"/>
        <v>37230</v>
      </c>
      <c r="R171" s="49">
        <f t="shared" si="83"/>
        <v>37230</v>
      </c>
      <c r="S171" s="49">
        <f t="shared" si="83"/>
        <v>37230</v>
      </c>
      <c r="T171" s="49">
        <f t="shared" si="83"/>
        <v>37230</v>
      </c>
      <c r="U171" s="49">
        <f t="shared" si="83"/>
        <v>37230</v>
      </c>
      <c r="V171" s="49">
        <f t="shared" si="83"/>
        <v>37230</v>
      </c>
      <c r="W171" s="49">
        <f t="shared" si="83"/>
        <v>37230</v>
      </c>
      <c r="X171" s="49">
        <f t="shared" si="83"/>
        <v>37230</v>
      </c>
      <c r="Y171" s="49">
        <f t="shared" si="83"/>
        <v>37230</v>
      </c>
      <c r="Z171" s="49">
        <f t="shared" si="83"/>
        <v>37230</v>
      </c>
      <c r="AA171" s="49">
        <f t="shared" si="83"/>
        <v>37230</v>
      </c>
    </row>
    <row r="172" spans="2:27" x14ac:dyDescent="0.3">
      <c r="B172" s="57" t="s">
        <v>232</v>
      </c>
      <c r="C172" s="57"/>
      <c r="D172" s="57"/>
      <c r="E172" s="57"/>
      <c r="F172" s="57"/>
      <c r="G172" s="78"/>
      <c r="H172" s="78"/>
      <c r="I172" s="78"/>
      <c r="J172" s="78"/>
      <c r="K172" s="78"/>
      <c r="L172" s="78"/>
      <c r="M172" s="78"/>
      <c r="N172" s="78"/>
      <c r="O172" s="78"/>
      <c r="P172" s="78"/>
      <c r="Q172" s="78"/>
      <c r="R172" s="78"/>
      <c r="S172" s="78"/>
      <c r="T172" s="78"/>
      <c r="U172" s="78"/>
      <c r="V172" s="78"/>
      <c r="W172" s="78"/>
      <c r="X172" s="78"/>
      <c r="Y172" s="78"/>
      <c r="Z172" s="78"/>
      <c r="AA172" s="78"/>
    </row>
    <row r="173" spans="2:27" x14ac:dyDescent="0.3">
      <c r="B173" s="47" t="str">
        <f>+B172</f>
        <v xml:space="preserve">Laguna Colorada </v>
      </c>
      <c r="C173" s="390">
        <v>2023</v>
      </c>
      <c r="D173" s="426">
        <v>100</v>
      </c>
      <c r="E173" s="110">
        <v>0.85</v>
      </c>
      <c r="F173" s="110"/>
      <c r="G173" s="49">
        <f>+IF($C173&lt;=G$52,$D173*8760*$E173,0)</f>
        <v>0</v>
      </c>
      <c r="H173" s="49">
        <f t="shared" si="83"/>
        <v>0</v>
      </c>
      <c r="I173" s="49">
        <f t="shared" si="83"/>
        <v>0</v>
      </c>
      <c r="J173" s="49">
        <f t="shared" si="83"/>
        <v>0</v>
      </c>
      <c r="K173" s="49">
        <f t="shared" si="83"/>
        <v>0</v>
      </c>
      <c r="L173" s="49">
        <f t="shared" si="83"/>
        <v>0</v>
      </c>
      <c r="M173" s="49">
        <f t="shared" si="83"/>
        <v>0</v>
      </c>
      <c r="N173" s="49">
        <f t="shared" si="83"/>
        <v>0</v>
      </c>
      <c r="O173" s="49">
        <f t="shared" si="83"/>
        <v>0</v>
      </c>
      <c r="P173" s="49">
        <f t="shared" si="83"/>
        <v>0</v>
      </c>
      <c r="Q173" s="49">
        <f t="shared" si="83"/>
        <v>0</v>
      </c>
      <c r="R173" s="49">
        <f t="shared" si="83"/>
        <v>0</v>
      </c>
      <c r="S173" s="49">
        <f t="shared" si="83"/>
        <v>0</v>
      </c>
      <c r="T173" s="49">
        <f t="shared" si="83"/>
        <v>744600</v>
      </c>
      <c r="U173" s="49">
        <f t="shared" si="83"/>
        <v>744600</v>
      </c>
      <c r="V173" s="49">
        <f t="shared" si="83"/>
        <v>744600</v>
      </c>
      <c r="W173" s="49">
        <f t="shared" si="83"/>
        <v>744600</v>
      </c>
      <c r="X173" s="49">
        <f t="shared" si="83"/>
        <v>744600</v>
      </c>
      <c r="Y173" s="49">
        <f t="shared" si="83"/>
        <v>744600</v>
      </c>
      <c r="Z173" s="49">
        <f t="shared" si="83"/>
        <v>744600</v>
      </c>
      <c r="AA173" s="49">
        <f t="shared" si="83"/>
        <v>744600</v>
      </c>
    </row>
    <row r="174" spans="2:27" x14ac:dyDescent="0.3">
      <c r="B174" s="113"/>
      <c r="C174" s="393"/>
      <c r="D174" s="394"/>
      <c r="E174" s="28"/>
      <c r="F174" s="28"/>
      <c r="G174" s="113"/>
      <c r="H174" s="113"/>
      <c r="I174" s="113"/>
      <c r="J174" s="30"/>
      <c r="K174" s="30"/>
      <c r="L174" s="30"/>
      <c r="M174" s="30"/>
      <c r="N174" s="30"/>
      <c r="O174" s="30"/>
      <c r="P174" s="30"/>
      <c r="Q174" s="30"/>
      <c r="R174" s="30"/>
      <c r="S174" s="30"/>
      <c r="T174" s="30"/>
      <c r="U174" s="30"/>
      <c r="V174" s="30"/>
      <c r="W174" s="30"/>
      <c r="X174" s="30"/>
      <c r="Y174" s="30"/>
      <c r="Z174" s="30"/>
      <c r="AA174" s="30"/>
    </row>
    <row r="175" spans="2:27" x14ac:dyDescent="0.3">
      <c r="B175" s="439"/>
      <c r="C175" s="440"/>
      <c r="D175" s="440"/>
      <c r="E175" s="440"/>
      <c r="F175" s="438"/>
      <c r="G175" s="381">
        <v>2010</v>
      </c>
      <c r="H175" s="381">
        <v>2011</v>
      </c>
      <c r="I175" s="381">
        <v>2012</v>
      </c>
      <c r="J175" s="381">
        <v>2013</v>
      </c>
      <c r="K175" s="381">
        <v>2014</v>
      </c>
      <c r="L175" s="381">
        <v>2015</v>
      </c>
      <c r="M175" s="381">
        <v>2016</v>
      </c>
      <c r="N175" s="381">
        <v>2017</v>
      </c>
      <c r="O175" s="381">
        <v>2018</v>
      </c>
      <c r="P175" s="381">
        <v>2019</v>
      </c>
      <c r="Q175" s="381">
        <v>2020</v>
      </c>
      <c r="R175" s="381">
        <v>2021</v>
      </c>
      <c r="S175" s="381">
        <v>2022</v>
      </c>
      <c r="T175" s="381">
        <v>2023</v>
      </c>
      <c r="U175" s="381">
        <v>2024</v>
      </c>
      <c r="V175" s="381">
        <v>2025</v>
      </c>
      <c r="W175" s="381">
        <v>2026</v>
      </c>
      <c r="X175" s="381">
        <v>2027</v>
      </c>
      <c r="Y175" s="381">
        <v>2028</v>
      </c>
      <c r="Z175" s="381">
        <v>2029</v>
      </c>
      <c r="AA175" s="381">
        <v>2030</v>
      </c>
    </row>
    <row r="176" spans="2:27" ht="28.8" x14ac:dyDescent="0.3">
      <c r="B176" s="84" t="s">
        <v>164</v>
      </c>
      <c r="C176" s="80" t="s">
        <v>279</v>
      </c>
      <c r="D176" s="389" t="s">
        <v>397</v>
      </c>
      <c r="E176" s="388" t="s">
        <v>247</v>
      </c>
      <c r="F176" s="388"/>
      <c r="G176" s="79" t="s">
        <v>197</v>
      </c>
      <c r="H176" s="79" t="s">
        <v>197</v>
      </c>
      <c r="I176" s="79" t="s">
        <v>197</v>
      </c>
      <c r="J176" s="79" t="s">
        <v>197</v>
      </c>
      <c r="K176" s="79" t="s">
        <v>197</v>
      </c>
      <c r="L176" s="79" t="s">
        <v>197</v>
      </c>
      <c r="M176" s="79" t="s">
        <v>197</v>
      </c>
      <c r="N176" s="79" t="s">
        <v>197</v>
      </c>
      <c r="O176" s="79" t="s">
        <v>197</v>
      </c>
      <c r="P176" s="79" t="s">
        <v>197</v>
      </c>
      <c r="Q176" s="79" t="s">
        <v>197</v>
      </c>
      <c r="R176" s="79" t="s">
        <v>197</v>
      </c>
      <c r="S176" s="79" t="s">
        <v>197</v>
      </c>
      <c r="T176" s="79" t="s">
        <v>197</v>
      </c>
      <c r="U176" s="79" t="s">
        <v>197</v>
      </c>
      <c r="V176" s="79" t="s">
        <v>197</v>
      </c>
      <c r="W176" s="79" t="s">
        <v>197</v>
      </c>
      <c r="X176" s="79" t="s">
        <v>197</v>
      </c>
      <c r="Y176" s="79" t="s">
        <v>197</v>
      </c>
      <c r="Z176" s="79" t="s">
        <v>197</v>
      </c>
      <c r="AA176" s="79" t="s">
        <v>197</v>
      </c>
    </row>
    <row r="177" spans="2:29" x14ac:dyDescent="0.3">
      <c r="B177" s="7" t="s">
        <v>12</v>
      </c>
      <c r="C177" s="11"/>
      <c r="D177" s="11"/>
      <c r="E177" s="11"/>
      <c r="F177" s="11"/>
      <c r="G177" s="85">
        <f>+SUM(G178:G183)</f>
        <v>0</v>
      </c>
      <c r="H177" s="85">
        <f t="shared" ref="H177:AA177" si="84">+SUM(H178:H183)</f>
        <v>0</v>
      </c>
      <c r="I177" s="85">
        <f t="shared" si="84"/>
        <v>0</v>
      </c>
      <c r="J177" s="85">
        <f t="shared" si="84"/>
        <v>0</v>
      </c>
      <c r="K177" s="85">
        <f t="shared" si="84"/>
        <v>0</v>
      </c>
      <c r="L177" s="85">
        <f t="shared" si="84"/>
        <v>0</v>
      </c>
      <c r="M177" s="85">
        <f t="shared" si="84"/>
        <v>0</v>
      </c>
      <c r="N177" s="85">
        <f t="shared" si="84"/>
        <v>0</v>
      </c>
      <c r="O177" s="85">
        <f t="shared" si="84"/>
        <v>0</v>
      </c>
      <c r="P177" s="85">
        <f t="shared" si="84"/>
        <v>0</v>
      </c>
      <c r="Q177" s="85">
        <f>+SUM(Q178:Q183)</f>
        <v>372300</v>
      </c>
      <c r="R177" s="85">
        <f t="shared" si="84"/>
        <v>372300</v>
      </c>
      <c r="S177" s="85">
        <f t="shared" si="84"/>
        <v>372300</v>
      </c>
      <c r="T177" s="85">
        <f t="shared" si="84"/>
        <v>372300</v>
      </c>
      <c r="U177" s="85">
        <f t="shared" si="84"/>
        <v>372300</v>
      </c>
      <c r="V177" s="85">
        <f t="shared" si="84"/>
        <v>372300</v>
      </c>
      <c r="W177" s="85">
        <f t="shared" si="84"/>
        <v>372300</v>
      </c>
      <c r="X177" s="85">
        <f t="shared" si="84"/>
        <v>372300</v>
      </c>
      <c r="Y177" s="85">
        <f t="shared" si="84"/>
        <v>372300</v>
      </c>
      <c r="Z177" s="85">
        <f t="shared" si="84"/>
        <v>372300</v>
      </c>
      <c r="AA177" s="85">
        <f t="shared" si="84"/>
        <v>372300</v>
      </c>
    </row>
    <row r="178" spans="2:29" x14ac:dyDescent="0.3">
      <c r="B178" s="57" t="s">
        <v>14</v>
      </c>
      <c r="C178" s="57"/>
      <c r="D178" s="57"/>
      <c r="E178" s="57"/>
      <c r="F178" s="57"/>
      <c r="G178" s="78"/>
      <c r="H178" s="78"/>
      <c r="I178" s="78"/>
      <c r="J178" s="78"/>
      <c r="K178" s="78"/>
      <c r="L178" s="78"/>
      <c r="M178" s="78"/>
      <c r="N178" s="78"/>
      <c r="O178" s="78"/>
      <c r="P178" s="78"/>
      <c r="Q178" s="78"/>
      <c r="R178" s="78"/>
      <c r="S178" s="78"/>
      <c r="T178" s="78"/>
      <c r="U178" s="78"/>
      <c r="V178" s="78"/>
      <c r="W178" s="78"/>
      <c r="X178" s="78"/>
      <c r="Y178" s="78"/>
      <c r="Z178" s="78"/>
      <c r="AA178" s="78"/>
    </row>
    <row r="179" spans="2:29" x14ac:dyDescent="0.3">
      <c r="B179" s="47" t="str">
        <f>+B178</f>
        <v>San Buenaventura</v>
      </c>
      <c r="C179" s="390">
        <v>2020</v>
      </c>
      <c r="D179" s="426">
        <v>10</v>
      </c>
      <c r="E179" s="110">
        <v>0.85</v>
      </c>
      <c r="F179" s="110"/>
      <c r="G179" s="49">
        <f>+IF($C179&lt;=G$52,$D179*8760*$E179,0)</f>
        <v>0</v>
      </c>
      <c r="H179" s="49">
        <f t="shared" ref="H179:AA183" si="85">+IF($C179&lt;=H$52,$D179*8760*$E179,0)</f>
        <v>0</v>
      </c>
      <c r="I179" s="49">
        <f t="shared" si="85"/>
        <v>0</v>
      </c>
      <c r="J179" s="49">
        <f t="shared" si="85"/>
        <v>0</v>
      </c>
      <c r="K179" s="49">
        <f t="shared" si="85"/>
        <v>0</v>
      </c>
      <c r="L179" s="49">
        <f t="shared" si="85"/>
        <v>0</v>
      </c>
      <c r="M179" s="49">
        <f t="shared" si="85"/>
        <v>0</v>
      </c>
      <c r="N179" s="49">
        <f t="shared" si="85"/>
        <v>0</v>
      </c>
      <c r="O179" s="49">
        <f t="shared" si="85"/>
        <v>0</v>
      </c>
      <c r="P179" s="49">
        <f t="shared" si="85"/>
        <v>0</v>
      </c>
      <c r="Q179" s="49">
        <f t="shared" si="85"/>
        <v>74460</v>
      </c>
      <c r="R179" s="49">
        <f t="shared" si="85"/>
        <v>74460</v>
      </c>
      <c r="S179" s="49">
        <f t="shared" si="85"/>
        <v>74460</v>
      </c>
      <c r="T179" s="49">
        <f t="shared" si="85"/>
        <v>74460</v>
      </c>
      <c r="U179" s="49">
        <f t="shared" si="85"/>
        <v>74460</v>
      </c>
      <c r="V179" s="49">
        <f t="shared" si="85"/>
        <v>74460</v>
      </c>
      <c r="W179" s="49">
        <f t="shared" si="85"/>
        <v>74460</v>
      </c>
      <c r="X179" s="49">
        <f t="shared" si="85"/>
        <v>74460</v>
      </c>
      <c r="Y179" s="49">
        <f t="shared" si="85"/>
        <v>74460</v>
      </c>
      <c r="Z179" s="49">
        <f t="shared" si="85"/>
        <v>74460</v>
      </c>
      <c r="AA179" s="49">
        <f t="shared" si="85"/>
        <v>74460</v>
      </c>
    </row>
    <row r="180" spans="2:29" x14ac:dyDescent="0.3">
      <c r="B180" s="57" t="s">
        <v>47</v>
      </c>
      <c r="C180" s="57"/>
      <c r="D180" s="57"/>
      <c r="E180" s="57"/>
      <c r="F180" s="57"/>
      <c r="G180" s="78"/>
      <c r="H180" s="78"/>
      <c r="I180" s="78"/>
      <c r="J180" s="78"/>
      <c r="K180" s="78"/>
      <c r="L180" s="78"/>
      <c r="M180" s="78"/>
      <c r="N180" s="78"/>
      <c r="O180" s="78"/>
      <c r="P180" s="78"/>
      <c r="Q180" s="78"/>
      <c r="R180" s="78"/>
      <c r="S180" s="78"/>
      <c r="T180" s="78"/>
      <c r="U180" s="78"/>
      <c r="V180" s="78"/>
      <c r="W180" s="78"/>
      <c r="X180" s="78"/>
      <c r="Y180" s="78"/>
      <c r="Z180" s="78"/>
      <c r="AA180" s="78"/>
    </row>
    <row r="181" spans="2:29" x14ac:dyDescent="0.3">
      <c r="B181" s="47" t="str">
        <f>+B180</f>
        <v>Cobija</v>
      </c>
      <c r="C181" s="390">
        <v>2020</v>
      </c>
      <c r="D181" s="426">
        <v>20</v>
      </c>
      <c r="E181" s="110">
        <v>0.85</v>
      </c>
      <c r="F181" s="110"/>
      <c r="G181" s="49">
        <f>+IF($C181&lt;=G$52,$D181*8760*$E181,0)</f>
        <v>0</v>
      </c>
      <c r="H181" s="49">
        <f t="shared" si="85"/>
        <v>0</v>
      </c>
      <c r="I181" s="49">
        <f t="shared" si="85"/>
        <v>0</v>
      </c>
      <c r="J181" s="49">
        <f t="shared" si="85"/>
        <v>0</v>
      </c>
      <c r="K181" s="49">
        <f t="shared" si="85"/>
        <v>0</v>
      </c>
      <c r="L181" s="49">
        <f t="shared" si="85"/>
        <v>0</v>
      </c>
      <c r="M181" s="49">
        <f t="shared" si="85"/>
        <v>0</v>
      </c>
      <c r="N181" s="49">
        <f t="shared" si="85"/>
        <v>0</v>
      </c>
      <c r="O181" s="49">
        <f t="shared" si="85"/>
        <v>0</v>
      </c>
      <c r="P181" s="49">
        <f t="shared" si="85"/>
        <v>0</v>
      </c>
      <c r="Q181" s="49">
        <f t="shared" si="85"/>
        <v>148920</v>
      </c>
      <c r="R181" s="49">
        <f t="shared" si="85"/>
        <v>148920</v>
      </c>
      <c r="S181" s="49">
        <f t="shared" si="85"/>
        <v>148920</v>
      </c>
      <c r="T181" s="49">
        <f t="shared" si="85"/>
        <v>148920</v>
      </c>
      <c r="U181" s="49">
        <f t="shared" si="85"/>
        <v>148920</v>
      </c>
      <c r="V181" s="49">
        <f t="shared" si="85"/>
        <v>148920</v>
      </c>
      <c r="W181" s="49">
        <f t="shared" si="85"/>
        <v>148920</v>
      </c>
      <c r="X181" s="49">
        <f t="shared" si="85"/>
        <v>148920</v>
      </c>
      <c r="Y181" s="49">
        <f t="shared" si="85"/>
        <v>148920</v>
      </c>
      <c r="Z181" s="49">
        <f t="shared" si="85"/>
        <v>148920</v>
      </c>
      <c r="AA181" s="49">
        <f t="shared" si="85"/>
        <v>148920</v>
      </c>
    </row>
    <row r="182" spans="2:29" x14ac:dyDescent="0.3">
      <c r="B182" s="57" t="s">
        <v>472</v>
      </c>
      <c r="C182" s="57"/>
      <c r="D182" s="57"/>
      <c r="E182" s="57"/>
      <c r="F182" s="57"/>
      <c r="G182" s="78"/>
      <c r="H182" s="78"/>
      <c r="I182" s="78"/>
      <c r="J182" s="78"/>
      <c r="K182" s="78"/>
      <c r="L182" s="78"/>
      <c r="M182" s="78"/>
      <c r="N182" s="78"/>
      <c r="O182" s="78"/>
      <c r="P182" s="78"/>
      <c r="Q182" s="78"/>
      <c r="R182" s="78"/>
      <c r="S182" s="78"/>
      <c r="T182" s="78"/>
      <c r="U182" s="78"/>
      <c r="V182" s="78"/>
      <c r="W182" s="78"/>
      <c r="X182" s="78"/>
      <c r="Y182" s="78"/>
      <c r="Z182" s="78"/>
      <c r="AA182" s="78"/>
    </row>
    <row r="183" spans="2:29" x14ac:dyDescent="0.3">
      <c r="B183" s="47" t="str">
        <f>+B182</f>
        <v>Riberalta</v>
      </c>
      <c r="C183" s="390">
        <v>2020</v>
      </c>
      <c r="D183" s="426">
        <v>20</v>
      </c>
      <c r="E183" s="110">
        <v>0.85</v>
      </c>
      <c r="F183" s="110"/>
      <c r="G183" s="49">
        <f>+IF($C183&lt;=G$52,$D183*8760*$E183,0)</f>
        <v>0</v>
      </c>
      <c r="H183" s="49">
        <f t="shared" si="85"/>
        <v>0</v>
      </c>
      <c r="I183" s="49">
        <f t="shared" si="85"/>
        <v>0</v>
      </c>
      <c r="J183" s="49">
        <f t="shared" si="85"/>
        <v>0</v>
      </c>
      <c r="K183" s="49">
        <f t="shared" si="85"/>
        <v>0</v>
      </c>
      <c r="L183" s="49">
        <f t="shared" si="85"/>
        <v>0</v>
      </c>
      <c r="M183" s="49">
        <f t="shared" si="85"/>
        <v>0</v>
      </c>
      <c r="N183" s="49">
        <f t="shared" si="85"/>
        <v>0</v>
      </c>
      <c r="O183" s="49">
        <f t="shared" si="85"/>
        <v>0</v>
      </c>
      <c r="P183" s="49">
        <f t="shared" si="85"/>
        <v>0</v>
      </c>
      <c r="Q183" s="49">
        <f t="shared" si="85"/>
        <v>148920</v>
      </c>
      <c r="R183" s="49">
        <f t="shared" si="85"/>
        <v>148920</v>
      </c>
      <c r="S183" s="49">
        <f t="shared" si="85"/>
        <v>148920</v>
      </c>
      <c r="T183" s="49">
        <f t="shared" si="85"/>
        <v>148920</v>
      </c>
      <c r="U183" s="49">
        <f t="shared" si="85"/>
        <v>148920</v>
      </c>
      <c r="V183" s="49">
        <f t="shared" si="85"/>
        <v>148920</v>
      </c>
      <c r="W183" s="49">
        <f t="shared" si="85"/>
        <v>148920</v>
      </c>
      <c r="X183" s="49">
        <f t="shared" si="85"/>
        <v>148920</v>
      </c>
      <c r="Y183" s="49">
        <f t="shared" si="85"/>
        <v>148920</v>
      </c>
      <c r="Z183" s="49">
        <f t="shared" si="85"/>
        <v>148920</v>
      </c>
      <c r="AA183" s="49">
        <f t="shared" si="85"/>
        <v>148920</v>
      </c>
    </row>
    <row r="184" spans="2:29" x14ac:dyDescent="0.3">
      <c r="B184" s="113"/>
      <c r="C184" s="393"/>
      <c r="D184" s="394"/>
      <c r="E184" s="28"/>
      <c r="F184" s="28"/>
      <c r="G184" s="113"/>
      <c r="H184" s="113"/>
      <c r="I184" s="113"/>
      <c r="J184" s="30"/>
      <c r="K184" s="30"/>
      <c r="L184" s="30"/>
      <c r="M184" s="30"/>
      <c r="N184" s="30"/>
      <c r="O184" s="30"/>
      <c r="P184" s="30"/>
      <c r="Q184" s="30"/>
      <c r="R184" s="30"/>
      <c r="S184" s="30"/>
      <c r="T184" s="30"/>
      <c r="U184" s="30"/>
      <c r="V184" s="30"/>
      <c r="W184" s="30"/>
      <c r="X184" s="30"/>
      <c r="Y184" s="30"/>
      <c r="Z184" s="30"/>
      <c r="AA184" s="30"/>
    </row>
    <row r="185" spans="2:29" x14ac:dyDescent="0.3">
      <c r="B185" s="13"/>
      <c r="C185" s="13"/>
      <c r="D185" s="13"/>
      <c r="E185" s="13"/>
      <c r="F185" s="13"/>
      <c r="G185" s="41"/>
      <c r="H185" s="41"/>
      <c r="I185" s="41"/>
      <c r="J185" s="41"/>
      <c r="K185" s="41"/>
      <c r="L185" s="41"/>
      <c r="M185" s="41"/>
      <c r="N185" s="41"/>
      <c r="O185" s="41"/>
      <c r="P185" s="41"/>
      <c r="Q185" s="41"/>
      <c r="R185" s="41"/>
      <c r="S185" s="41"/>
      <c r="T185" s="41"/>
      <c r="U185" s="41"/>
      <c r="V185" s="41"/>
      <c r="W185" s="41"/>
      <c r="X185" s="41"/>
      <c r="Y185" s="41"/>
      <c r="Z185" s="41"/>
      <c r="AA185" s="41"/>
    </row>
    <row r="186" spans="2:29" x14ac:dyDescent="0.3">
      <c r="B186" s="385" t="s">
        <v>410</v>
      </c>
      <c r="C186" s="386"/>
      <c r="D186" s="386"/>
      <c r="E186" s="386"/>
      <c r="F186" s="386"/>
      <c r="G186" s="386"/>
      <c r="H186" s="386"/>
      <c r="I186" s="386"/>
      <c r="J186" s="386"/>
      <c r="K186" s="386"/>
      <c r="L186" s="386"/>
      <c r="M186" s="386"/>
      <c r="N186" s="386"/>
      <c r="O186" s="386"/>
      <c r="P186" s="386"/>
      <c r="Q186" s="386"/>
      <c r="R186" s="386"/>
      <c r="S186" s="386"/>
      <c r="T186" s="386"/>
      <c r="U186" s="386"/>
      <c r="V186" s="386"/>
      <c r="W186" s="386"/>
      <c r="X186" s="386"/>
      <c r="Y186" s="386"/>
      <c r="Z186" s="386"/>
      <c r="AA186" s="387"/>
    </row>
    <row r="187" spans="2:29" ht="13.95" customHeight="1" x14ac:dyDescent="0.3">
      <c r="B187" s="93"/>
      <c r="C187" s="93"/>
      <c r="D187" s="93"/>
      <c r="E187" s="93"/>
      <c r="F187" s="93"/>
      <c r="G187" s="93"/>
      <c r="H187" s="93"/>
      <c r="I187" s="93"/>
      <c r="J187" s="93"/>
      <c r="K187" s="93"/>
      <c r="L187" s="93"/>
      <c r="N187" s="95"/>
    </row>
    <row r="188" spans="2:29" x14ac:dyDescent="0.3">
      <c r="B188" s="439"/>
      <c r="C188" s="440"/>
      <c r="D188" s="440"/>
      <c r="E188" s="440"/>
      <c r="F188" s="438"/>
      <c r="G188" s="381">
        <v>2010</v>
      </c>
      <c r="H188" s="381">
        <v>2011</v>
      </c>
      <c r="I188" s="381">
        <v>2012</v>
      </c>
      <c r="J188" s="381">
        <v>2013</v>
      </c>
      <c r="K188" s="381">
        <v>2014</v>
      </c>
      <c r="L188" s="381">
        <v>2015</v>
      </c>
      <c r="M188" s="381">
        <v>2016</v>
      </c>
      <c r="N188" s="381">
        <v>2017</v>
      </c>
      <c r="O188" s="381">
        <v>2018</v>
      </c>
      <c r="P188" s="381">
        <v>2019</v>
      </c>
      <c r="Q188" s="381">
        <v>2020</v>
      </c>
      <c r="R188" s="381">
        <v>2021</v>
      </c>
      <c r="S188" s="381">
        <v>2022</v>
      </c>
      <c r="T188" s="381">
        <v>2023</v>
      </c>
      <c r="U188" s="381">
        <v>2024</v>
      </c>
      <c r="V188" s="381">
        <v>2025</v>
      </c>
      <c r="W188" s="381">
        <v>2026</v>
      </c>
      <c r="X188" s="381">
        <v>2027</v>
      </c>
      <c r="Y188" s="381">
        <v>2028</v>
      </c>
      <c r="Z188" s="381">
        <v>2029</v>
      </c>
      <c r="AA188" s="381">
        <v>2030</v>
      </c>
    </row>
    <row r="189" spans="2:29" ht="30" x14ac:dyDescent="0.35">
      <c r="B189" s="473" t="s">
        <v>163</v>
      </c>
      <c r="C189" s="389" t="s">
        <v>279</v>
      </c>
      <c r="D189" s="389" t="s">
        <v>397</v>
      </c>
      <c r="E189" s="474" t="s">
        <v>247</v>
      </c>
      <c r="F189" s="79" t="s">
        <v>442</v>
      </c>
      <c r="G189" s="397" t="s">
        <v>197</v>
      </c>
      <c r="H189" s="397" t="s">
        <v>197</v>
      </c>
      <c r="I189" s="397" t="s">
        <v>197</v>
      </c>
      <c r="J189" s="397" t="s">
        <v>197</v>
      </c>
      <c r="K189" s="397" t="s">
        <v>197</v>
      </c>
      <c r="L189" s="397" t="s">
        <v>197</v>
      </c>
      <c r="M189" s="397" t="s">
        <v>197</v>
      </c>
      <c r="N189" s="397" t="s">
        <v>197</v>
      </c>
      <c r="O189" s="397" t="s">
        <v>197</v>
      </c>
      <c r="P189" s="397" t="s">
        <v>197</v>
      </c>
      <c r="Q189" s="397" t="s">
        <v>197</v>
      </c>
      <c r="R189" s="397" t="s">
        <v>197</v>
      </c>
      <c r="S189" s="397" t="s">
        <v>197</v>
      </c>
      <c r="T189" s="397" t="s">
        <v>197</v>
      </c>
      <c r="U189" s="397" t="s">
        <v>197</v>
      </c>
      <c r="V189" s="397" t="s">
        <v>197</v>
      </c>
      <c r="W189" s="397" t="s">
        <v>197</v>
      </c>
      <c r="X189" s="397" t="s">
        <v>197</v>
      </c>
      <c r="Y189" s="397" t="s">
        <v>197</v>
      </c>
      <c r="Z189" s="397" t="s">
        <v>197</v>
      </c>
      <c r="AA189" s="397" t="s">
        <v>197</v>
      </c>
    </row>
    <row r="190" spans="2:29" x14ac:dyDescent="0.3">
      <c r="B190" s="16" t="s">
        <v>15</v>
      </c>
      <c r="C190" s="16"/>
      <c r="D190" s="377"/>
      <c r="E190" s="377"/>
      <c r="F190" s="377"/>
      <c r="G190" s="58">
        <f>SUM(G191:G258)</f>
        <v>3875855.7150321514</v>
      </c>
      <c r="H190" s="58">
        <f t="shared" ref="H190:M190" si="86">SUM(H191:H258)</f>
        <v>4204795.5495570004</v>
      </c>
      <c r="I190" s="58">
        <f t="shared" si="86"/>
        <v>4475347.2606733171</v>
      </c>
      <c r="J190" s="58">
        <f t="shared" si="86"/>
        <v>4692441.8888248773</v>
      </c>
      <c r="K190" s="58">
        <f t="shared" si="86"/>
        <v>5426028.4641763652</v>
      </c>
      <c r="L190" s="58">
        <f t="shared" si="86"/>
        <v>5718182.0382411722</v>
      </c>
      <c r="M190" s="58">
        <f t="shared" si="86"/>
        <v>6857813.3036782192</v>
      </c>
      <c r="N190" s="58">
        <f>SUM(N191:N258)</f>
        <v>6556082.4895821987</v>
      </c>
      <c r="O190" s="58">
        <f>SUM(O191:O258)</f>
        <v>6373210.9984091837</v>
      </c>
      <c r="P190" s="58">
        <f t="shared" ref="P190:Z190" si="87">SUM(P191:P258)</f>
        <v>6538663.1966314064</v>
      </c>
      <c r="Q190" s="58">
        <f t="shared" si="87"/>
        <v>5665884.7986711618</v>
      </c>
      <c r="R190" s="58">
        <f t="shared" si="87"/>
        <v>5616449.8879181677</v>
      </c>
      <c r="S190" s="58">
        <f>SUM(S191:S258)</f>
        <v>5648877.553926399</v>
      </c>
      <c r="T190" s="58">
        <f>SUM(T191:T258)</f>
        <v>5636963.7091966337</v>
      </c>
      <c r="U190" s="58">
        <f t="shared" si="87"/>
        <v>5634097.0503470665</v>
      </c>
      <c r="V190" s="58">
        <f t="shared" si="87"/>
        <v>3245992.0320150317</v>
      </c>
      <c r="W190" s="58">
        <f t="shared" si="87"/>
        <v>3243025.9933140208</v>
      </c>
      <c r="X190" s="58">
        <f t="shared" si="87"/>
        <v>3243042.5566225951</v>
      </c>
      <c r="Y190" s="58">
        <f t="shared" si="87"/>
        <v>3244020.1939838827</v>
      </c>
      <c r="Z190" s="58">
        <f t="shared" si="87"/>
        <v>0</v>
      </c>
      <c r="AA190" s="58">
        <f>SUM(AA191:AA258)</f>
        <v>0</v>
      </c>
      <c r="AB190" s="401"/>
      <c r="AC190" s="148"/>
    </row>
    <row r="191" spans="2:29" x14ac:dyDescent="0.3">
      <c r="B191" s="75" t="s">
        <v>317</v>
      </c>
      <c r="C191" s="75"/>
      <c r="D191" s="75"/>
      <c r="E191" s="75"/>
      <c r="F191" s="398"/>
      <c r="G191" s="61"/>
      <c r="H191" s="61"/>
      <c r="I191" s="61"/>
      <c r="J191" s="61"/>
      <c r="K191" s="61"/>
      <c r="L191" s="61"/>
      <c r="M191" s="61"/>
      <c r="N191" s="61"/>
      <c r="O191" s="61"/>
      <c r="P191" s="61"/>
      <c r="Q191" s="61"/>
      <c r="R191" s="61"/>
      <c r="S191" s="61"/>
      <c r="T191" s="61"/>
      <c r="U191" s="61"/>
      <c r="V191" s="61"/>
      <c r="W191" s="61"/>
      <c r="X191" s="61"/>
      <c r="Y191" s="61"/>
      <c r="Z191" s="61"/>
      <c r="AA191" s="61"/>
      <c r="AB191" s="26"/>
    </row>
    <row r="192" spans="2:29" x14ac:dyDescent="0.3">
      <c r="B192" s="76" t="s">
        <v>318</v>
      </c>
      <c r="C192" s="108">
        <v>2012</v>
      </c>
      <c r="D192" s="426">
        <v>17.5</v>
      </c>
      <c r="E192" s="207"/>
      <c r="F192" s="399">
        <f>+OM_EF_2017!G24</f>
        <v>0.56430470027607305</v>
      </c>
      <c r="G192" s="49">
        <v>0</v>
      </c>
      <c r="H192" s="49">
        <v>0</v>
      </c>
      <c r="I192" s="49">
        <v>57810.708899999998</v>
      </c>
      <c r="J192" s="49">
        <v>107684.09799999998</v>
      </c>
      <c r="K192" s="49">
        <v>108265.76249999998</v>
      </c>
      <c r="L192" s="49">
        <v>62901.071699999942</v>
      </c>
      <c r="M192" s="49">
        <v>100635.927</v>
      </c>
      <c r="N192" s="49">
        <v>49236.522900000004</v>
      </c>
      <c r="O192" s="49">
        <f>+AVERAGE($L$192:$N$192)</f>
        <v>70924.507199999978</v>
      </c>
      <c r="P192" s="49">
        <f t="shared" ref="P192:Y192" si="88">+AVERAGE($L$192:$N$192)</f>
        <v>70924.507199999978</v>
      </c>
      <c r="Q192" s="49">
        <f t="shared" si="88"/>
        <v>70924.507199999978</v>
      </c>
      <c r="R192" s="49">
        <f t="shared" si="88"/>
        <v>70924.507199999978</v>
      </c>
      <c r="S192" s="49">
        <f t="shared" si="88"/>
        <v>70924.507199999978</v>
      </c>
      <c r="T192" s="49">
        <f t="shared" si="88"/>
        <v>70924.507199999978</v>
      </c>
      <c r="U192" s="49">
        <f t="shared" si="88"/>
        <v>70924.507199999978</v>
      </c>
      <c r="V192" s="49">
        <f t="shared" si="88"/>
        <v>70924.507199999978</v>
      </c>
      <c r="W192" s="49">
        <f t="shared" si="88"/>
        <v>70924.507199999978</v>
      </c>
      <c r="X192" s="49">
        <f t="shared" si="88"/>
        <v>70924.507199999978</v>
      </c>
      <c r="Y192" s="49">
        <f t="shared" si="88"/>
        <v>70924.507199999978</v>
      </c>
      <c r="Z192" s="478"/>
      <c r="AA192" s="478"/>
      <c r="AB192" s="26"/>
    </row>
    <row r="193" spans="2:28" x14ac:dyDescent="0.3">
      <c r="B193" s="76" t="s">
        <v>324</v>
      </c>
      <c r="C193" s="108">
        <v>2013</v>
      </c>
      <c r="D193" s="426">
        <v>32.4</v>
      </c>
      <c r="E193" s="207"/>
      <c r="F193" s="399">
        <f>+OM_EF_2017!G25</f>
        <v>0.4944620795160809</v>
      </c>
      <c r="G193" s="49">
        <v>0</v>
      </c>
      <c r="H193" s="49">
        <v>0</v>
      </c>
      <c r="I193" s="49">
        <v>0</v>
      </c>
      <c r="J193" s="49">
        <v>103575.98907</v>
      </c>
      <c r="K193" s="49">
        <v>74350.106548000011</v>
      </c>
      <c r="L193" s="49">
        <v>230006.70250000007</v>
      </c>
      <c r="M193" s="49">
        <v>213864.51399999997</v>
      </c>
      <c r="N193" s="49">
        <v>148687.6958000001</v>
      </c>
      <c r="O193" s="49">
        <f>+AVERAGE($L$193:$N$193)</f>
        <v>197519.63743333341</v>
      </c>
      <c r="P193" s="49">
        <f t="shared" ref="P193:Y193" si="89">+AVERAGE($L$193:$N$193)</f>
        <v>197519.63743333341</v>
      </c>
      <c r="Q193" s="49">
        <f t="shared" si="89"/>
        <v>197519.63743333341</v>
      </c>
      <c r="R193" s="49">
        <f t="shared" si="89"/>
        <v>197519.63743333341</v>
      </c>
      <c r="S193" s="49">
        <f t="shared" si="89"/>
        <v>197519.63743333341</v>
      </c>
      <c r="T193" s="49">
        <f t="shared" si="89"/>
        <v>197519.63743333341</v>
      </c>
      <c r="U193" s="49">
        <f t="shared" si="89"/>
        <v>197519.63743333341</v>
      </c>
      <c r="V193" s="49">
        <f t="shared" si="89"/>
        <v>197519.63743333341</v>
      </c>
      <c r="W193" s="49">
        <f t="shared" si="89"/>
        <v>197519.63743333341</v>
      </c>
      <c r="X193" s="49">
        <f t="shared" si="89"/>
        <v>197519.63743333341</v>
      </c>
      <c r="Y193" s="49">
        <f t="shared" si="89"/>
        <v>197519.63743333341</v>
      </c>
      <c r="Z193" s="478"/>
      <c r="AA193" s="478"/>
      <c r="AB193" s="26"/>
    </row>
    <row r="194" spans="2:28" x14ac:dyDescent="0.3">
      <c r="B194" s="75" t="s">
        <v>19</v>
      </c>
      <c r="C194" s="420"/>
      <c r="D194" s="75"/>
      <c r="E194" s="75"/>
      <c r="F194" s="398"/>
      <c r="G194" s="61"/>
      <c r="H194" s="61"/>
      <c r="I194" s="61"/>
      <c r="J194" s="61"/>
      <c r="K194" s="61"/>
      <c r="L194" s="61"/>
      <c r="M194" s="61"/>
      <c r="N194" s="61"/>
      <c r="O194" s="61"/>
      <c r="P194" s="61"/>
      <c r="Q194" s="61"/>
      <c r="R194" s="61"/>
      <c r="S194" s="61"/>
      <c r="T194" s="61"/>
      <c r="U194" s="61"/>
      <c r="V194" s="61"/>
      <c r="W194" s="61"/>
      <c r="X194" s="61"/>
      <c r="Y194" s="61"/>
      <c r="Z194" s="61"/>
      <c r="AA194" s="61"/>
      <c r="AB194" s="26"/>
    </row>
    <row r="195" spans="2:28" x14ac:dyDescent="0.3">
      <c r="B195" s="76" t="s">
        <v>87</v>
      </c>
      <c r="C195" s="108">
        <v>1974</v>
      </c>
      <c r="D195" s="426">
        <v>3</v>
      </c>
      <c r="E195" s="207"/>
      <c r="F195" s="399">
        <f>+OM_EF_2017!G27</f>
        <v>0.60378353760396697</v>
      </c>
      <c r="G195" s="49">
        <v>0</v>
      </c>
      <c r="H195" s="49">
        <v>1295.25873</v>
      </c>
      <c r="I195" s="49">
        <v>6370.2055145175</v>
      </c>
      <c r="J195" s="49">
        <v>1574.99368394</v>
      </c>
      <c r="K195" s="49">
        <v>5457.5982823000022</v>
      </c>
      <c r="L195" s="49">
        <v>903.1293569275839</v>
      </c>
      <c r="M195" s="49">
        <v>2065.3987464399997</v>
      </c>
      <c r="N195" s="49">
        <v>511.0025</v>
      </c>
      <c r="O195" s="49">
        <f t="shared" ref="O195:P195" si="90">+AVERAGE($L$195:$N$195)</f>
        <v>1159.8435344558613</v>
      </c>
      <c r="P195" s="49">
        <f t="shared" si="90"/>
        <v>1159.8435344558613</v>
      </c>
      <c r="Q195" s="478"/>
      <c r="R195" s="478"/>
      <c r="S195" s="478"/>
      <c r="T195" s="478"/>
      <c r="U195" s="478"/>
      <c r="V195" s="478"/>
      <c r="W195" s="478"/>
      <c r="X195" s="478"/>
      <c r="Y195" s="478"/>
      <c r="Z195" s="478"/>
      <c r="AA195" s="478"/>
      <c r="AB195" s="26"/>
    </row>
    <row r="196" spans="2:28" x14ac:dyDescent="0.3">
      <c r="B196" s="76" t="s">
        <v>88</v>
      </c>
      <c r="C196" s="108">
        <v>1974</v>
      </c>
      <c r="D196" s="426">
        <v>3</v>
      </c>
      <c r="E196" s="207"/>
      <c r="F196" s="399">
        <f>+OM_EF_2017!G28</f>
        <v>0.60378353760396697</v>
      </c>
      <c r="G196" s="49">
        <v>7078.1761228214964</v>
      </c>
      <c r="H196" s="49">
        <v>6630.8057900000003</v>
      </c>
      <c r="I196" s="49">
        <v>0</v>
      </c>
      <c r="J196" s="49">
        <v>0</v>
      </c>
      <c r="K196" s="49">
        <v>1826.3282691160052</v>
      </c>
      <c r="L196" s="49">
        <v>911.2479539279999</v>
      </c>
      <c r="M196" s="49">
        <v>2494.435346064</v>
      </c>
      <c r="N196" s="49">
        <v>148.19450000000001</v>
      </c>
      <c r="O196" s="49">
        <f t="shared" ref="O196:P196" si="91">+AVERAGE($L$196:$N$196)</f>
        <v>1184.6259333306666</v>
      </c>
      <c r="P196" s="49">
        <f t="shared" si="91"/>
        <v>1184.6259333306666</v>
      </c>
      <c r="Q196" s="478"/>
      <c r="R196" s="478"/>
      <c r="S196" s="478"/>
      <c r="T196" s="478"/>
      <c r="U196" s="478"/>
      <c r="V196" s="478"/>
      <c r="W196" s="478"/>
      <c r="X196" s="478"/>
      <c r="Y196" s="478"/>
      <c r="Z196" s="478"/>
      <c r="AA196" s="478"/>
      <c r="AB196" s="26"/>
    </row>
    <row r="197" spans="2:28" x14ac:dyDescent="0.3">
      <c r="B197" s="76" t="s">
        <v>89</v>
      </c>
      <c r="C197" s="108">
        <v>1974</v>
      </c>
      <c r="D197" s="426">
        <v>3</v>
      </c>
      <c r="E197" s="207"/>
      <c r="F197" s="399">
        <f>+OM_EF_2017!G29</f>
        <v>0.60378353760396697</v>
      </c>
      <c r="G197" s="49">
        <v>6933.803202000001</v>
      </c>
      <c r="H197" s="49">
        <v>3921.550401</v>
      </c>
      <c r="I197" s="49">
        <v>7512.4494400000012</v>
      </c>
      <c r="J197" s="49">
        <v>1769.8755000000001</v>
      </c>
      <c r="K197" s="49">
        <v>5453.1379999999999</v>
      </c>
      <c r="L197" s="49">
        <v>742.68149999999991</v>
      </c>
      <c r="M197" s="49">
        <v>3046.8119999999999</v>
      </c>
      <c r="N197" s="49">
        <v>740.51250000000005</v>
      </c>
      <c r="O197" s="49">
        <f t="shared" ref="O197:P197" si="92">+AVERAGE($L$197:$N$197)</f>
        <v>1510.0019999999997</v>
      </c>
      <c r="P197" s="49">
        <f t="shared" si="92"/>
        <v>1510.0019999999997</v>
      </c>
      <c r="Q197" s="478"/>
      <c r="R197" s="478"/>
      <c r="S197" s="478"/>
      <c r="T197" s="478"/>
      <c r="U197" s="478"/>
      <c r="V197" s="478"/>
      <c r="W197" s="478"/>
      <c r="X197" s="478"/>
      <c r="Y197" s="478"/>
      <c r="Z197" s="478"/>
      <c r="AA197" s="478"/>
      <c r="AB197" s="26"/>
    </row>
    <row r="198" spans="2:28" x14ac:dyDescent="0.3">
      <c r="B198" s="76" t="s">
        <v>90</v>
      </c>
      <c r="C198" s="108">
        <v>1970</v>
      </c>
      <c r="D198" s="426"/>
      <c r="E198" s="207"/>
      <c r="F198" s="399"/>
      <c r="G198" s="49">
        <v>0</v>
      </c>
      <c r="H198" s="49">
        <v>0</v>
      </c>
      <c r="I198" s="49">
        <v>0</v>
      </c>
      <c r="J198" s="49">
        <v>0</v>
      </c>
      <c r="K198" s="49">
        <v>0</v>
      </c>
      <c r="L198" s="49">
        <v>0</v>
      </c>
      <c r="M198" s="49">
        <v>0</v>
      </c>
      <c r="N198" s="49">
        <v>0</v>
      </c>
      <c r="O198" s="49">
        <f t="shared" ref="O198:O206" si="93">+AVERAGE(L198:N198)</f>
        <v>0</v>
      </c>
      <c r="P198" s="49">
        <f t="shared" ref="P198:AA199" si="94">+O198</f>
        <v>0</v>
      </c>
      <c r="Q198" s="49">
        <f t="shared" si="94"/>
        <v>0</v>
      </c>
      <c r="R198" s="49">
        <f t="shared" si="94"/>
        <v>0</v>
      </c>
      <c r="S198" s="49">
        <f t="shared" si="94"/>
        <v>0</v>
      </c>
      <c r="T198" s="49">
        <f t="shared" si="94"/>
        <v>0</v>
      </c>
      <c r="U198" s="49">
        <f t="shared" si="94"/>
        <v>0</v>
      </c>
      <c r="V198" s="49">
        <f t="shared" si="94"/>
        <v>0</v>
      </c>
      <c r="W198" s="49">
        <f t="shared" si="94"/>
        <v>0</v>
      </c>
      <c r="X198" s="49">
        <f t="shared" si="94"/>
        <v>0</v>
      </c>
      <c r="Y198" s="49">
        <f t="shared" si="94"/>
        <v>0</v>
      </c>
      <c r="Z198" s="49">
        <f t="shared" si="94"/>
        <v>0</v>
      </c>
      <c r="AA198" s="49">
        <f t="shared" si="94"/>
        <v>0</v>
      </c>
      <c r="AB198" s="26"/>
    </row>
    <row r="199" spans="2:28" x14ac:dyDescent="0.3">
      <c r="B199" s="76" t="s">
        <v>91</v>
      </c>
      <c r="C199" s="108">
        <v>1971</v>
      </c>
      <c r="D199" s="426"/>
      <c r="E199" s="207"/>
      <c r="F199" s="399"/>
      <c r="G199" s="49">
        <v>2.1599455000000001</v>
      </c>
      <c r="H199" s="49">
        <v>0</v>
      </c>
      <c r="I199" s="49">
        <v>0</v>
      </c>
      <c r="J199" s="49">
        <v>0</v>
      </c>
      <c r="K199" s="49">
        <v>0</v>
      </c>
      <c r="L199" s="49">
        <v>0</v>
      </c>
      <c r="M199" s="49">
        <v>0</v>
      </c>
      <c r="N199" s="49">
        <v>0</v>
      </c>
      <c r="O199" s="49">
        <f t="shared" si="93"/>
        <v>0</v>
      </c>
      <c r="P199" s="49">
        <f t="shared" si="94"/>
        <v>0</v>
      </c>
      <c r="Q199" s="49">
        <f t="shared" si="94"/>
        <v>0</v>
      </c>
      <c r="R199" s="49">
        <f t="shared" si="94"/>
        <v>0</v>
      </c>
      <c r="S199" s="49">
        <f t="shared" si="94"/>
        <v>0</v>
      </c>
      <c r="T199" s="49">
        <f t="shared" si="94"/>
        <v>0</v>
      </c>
      <c r="U199" s="49">
        <f t="shared" si="94"/>
        <v>0</v>
      </c>
      <c r="V199" s="49">
        <f t="shared" si="94"/>
        <v>0</v>
      </c>
      <c r="W199" s="49">
        <f t="shared" si="94"/>
        <v>0</v>
      </c>
      <c r="X199" s="49">
        <f t="shared" si="94"/>
        <v>0</v>
      </c>
      <c r="Y199" s="49">
        <f t="shared" si="94"/>
        <v>0</v>
      </c>
      <c r="Z199" s="49">
        <f t="shared" si="94"/>
        <v>0</v>
      </c>
      <c r="AA199" s="49">
        <f t="shared" si="94"/>
        <v>0</v>
      </c>
      <c r="AB199" s="26"/>
    </row>
    <row r="200" spans="2:28" x14ac:dyDescent="0.3">
      <c r="B200" s="76" t="s">
        <v>92</v>
      </c>
      <c r="C200" s="108">
        <v>1994</v>
      </c>
      <c r="D200" s="426">
        <v>18</v>
      </c>
      <c r="E200" s="207"/>
      <c r="F200" s="399">
        <f>+OM_EF_2017!G30</f>
        <v>0.68049204311663647</v>
      </c>
      <c r="G200" s="49">
        <v>128803.56000000001</v>
      </c>
      <c r="H200" s="49">
        <v>132236.64000000001</v>
      </c>
      <c r="I200" s="49">
        <v>116890.92</v>
      </c>
      <c r="J200" s="49">
        <v>106260.78000000001</v>
      </c>
      <c r="K200" s="49">
        <v>105427.86</v>
      </c>
      <c r="L200" s="49">
        <v>83446.760000000184</v>
      </c>
      <c r="M200" s="49">
        <v>101154.24000000002</v>
      </c>
      <c r="N200" s="49">
        <v>139685.16</v>
      </c>
      <c r="O200" s="49">
        <f>+AVERAGE($L$200:$N$200)</f>
        <v>108095.38666666673</v>
      </c>
      <c r="P200" s="49">
        <f t="shared" ref="P200" si="95">+AVERAGE($L$200:$N$200)</f>
        <v>108095.38666666673</v>
      </c>
      <c r="Q200" s="478"/>
      <c r="R200" s="478"/>
      <c r="S200" s="478"/>
      <c r="T200" s="478"/>
      <c r="U200" s="478"/>
      <c r="V200" s="478"/>
      <c r="W200" s="478"/>
      <c r="X200" s="478"/>
      <c r="Y200" s="478"/>
      <c r="Z200" s="478"/>
      <c r="AA200" s="478"/>
      <c r="AB200" s="26"/>
    </row>
    <row r="201" spans="2:28" x14ac:dyDescent="0.3">
      <c r="B201" s="76" t="s">
        <v>93</v>
      </c>
      <c r="C201" s="108">
        <v>2007</v>
      </c>
      <c r="D201" s="426">
        <v>2</v>
      </c>
      <c r="E201" s="207"/>
      <c r="F201" s="399">
        <f>+OM_EF_2017!G31</f>
        <v>0.53565738803214413</v>
      </c>
      <c r="G201" s="49">
        <v>8515.6443321999977</v>
      </c>
      <c r="H201" s="49">
        <v>9389.0358410000008</v>
      </c>
      <c r="I201" s="49">
        <v>1184.838632</v>
      </c>
      <c r="J201" s="49">
        <v>338.88614000000001</v>
      </c>
      <c r="K201" s="49">
        <v>10782.301104999993</v>
      </c>
      <c r="L201" s="49">
        <v>8423.3989699999547</v>
      </c>
      <c r="M201" s="49">
        <v>10825.283039999975</v>
      </c>
      <c r="N201" s="49">
        <v>697.1232500000001</v>
      </c>
      <c r="O201" s="49">
        <f>+AVERAGE($L$201:$N$201)</f>
        <v>6648.6017533333106</v>
      </c>
      <c r="P201" s="49">
        <f t="shared" ref="P201:U201" si="96">+AVERAGE($L$201:$N$201)</f>
        <v>6648.6017533333106</v>
      </c>
      <c r="Q201" s="49">
        <f t="shared" si="96"/>
        <v>6648.6017533333106</v>
      </c>
      <c r="R201" s="49">
        <f t="shared" si="96"/>
        <v>6648.6017533333106</v>
      </c>
      <c r="S201" s="49">
        <f t="shared" si="96"/>
        <v>6648.6017533333106</v>
      </c>
      <c r="T201" s="49">
        <f t="shared" si="96"/>
        <v>6648.6017533333106</v>
      </c>
      <c r="U201" s="49">
        <f t="shared" si="96"/>
        <v>6648.6017533333106</v>
      </c>
      <c r="V201" s="478"/>
      <c r="W201" s="478"/>
      <c r="X201" s="478"/>
      <c r="Y201" s="478"/>
      <c r="Z201" s="478"/>
      <c r="AA201" s="478"/>
      <c r="AB201" s="26"/>
    </row>
    <row r="202" spans="2:28" x14ac:dyDescent="0.3">
      <c r="B202" s="76" t="s">
        <v>94</v>
      </c>
      <c r="C202" s="108">
        <v>2007</v>
      </c>
      <c r="D202" s="426">
        <v>2</v>
      </c>
      <c r="E202" s="207"/>
      <c r="F202" s="399">
        <f>+OM_EF_2017!G32</f>
        <v>0.53565738803214413</v>
      </c>
      <c r="G202" s="49">
        <v>5375.3301001449963</v>
      </c>
      <c r="H202" s="49">
        <v>6762.7585799999997</v>
      </c>
      <c r="I202" s="49">
        <v>8797.9958194499977</v>
      </c>
      <c r="J202" s="49">
        <v>4904.8445299999994</v>
      </c>
      <c r="K202" s="49">
        <v>2009.3795900000014</v>
      </c>
      <c r="L202" s="49">
        <v>0</v>
      </c>
      <c r="M202" s="49">
        <v>0</v>
      </c>
      <c r="N202" s="49">
        <v>0</v>
      </c>
      <c r="O202" s="49">
        <f t="shared" si="93"/>
        <v>0</v>
      </c>
      <c r="P202" s="49">
        <f t="shared" ref="P202:U202" si="97">+O202</f>
        <v>0</v>
      </c>
      <c r="Q202" s="49">
        <f t="shared" si="97"/>
        <v>0</v>
      </c>
      <c r="R202" s="49">
        <f t="shared" si="97"/>
        <v>0</v>
      </c>
      <c r="S202" s="49">
        <f t="shared" si="97"/>
        <v>0</v>
      </c>
      <c r="T202" s="49">
        <f t="shared" si="97"/>
        <v>0</v>
      </c>
      <c r="U202" s="49">
        <f t="shared" si="97"/>
        <v>0</v>
      </c>
      <c r="V202" s="49"/>
      <c r="W202" s="49"/>
      <c r="X202" s="49"/>
      <c r="Y202" s="49"/>
      <c r="Z202" s="49"/>
      <c r="AA202" s="49"/>
      <c r="AB202" s="26"/>
    </row>
    <row r="203" spans="2:28" x14ac:dyDescent="0.3">
      <c r="B203" s="76" t="s">
        <v>95</v>
      </c>
      <c r="C203" s="108">
        <v>2007</v>
      </c>
      <c r="D203" s="426">
        <v>2</v>
      </c>
      <c r="E203" s="207"/>
      <c r="F203" s="399">
        <f>+OM_EF_2017!G33</f>
        <v>0.53565738803214413</v>
      </c>
      <c r="G203" s="49">
        <v>5023.2107812749982</v>
      </c>
      <c r="H203" s="49">
        <v>0</v>
      </c>
      <c r="I203" s="49">
        <v>8208.257778800009</v>
      </c>
      <c r="J203" s="49">
        <v>9655.3631199999982</v>
      </c>
      <c r="K203" s="49">
        <v>5505.7637099999756</v>
      </c>
      <c r="L203" s="49">
        <v>4874.0930399999925</v>
      </c>
      <c r="M203" s="49">
        <v>10874.30593000001</v>
      </c>
      <c r="N203" s="49">
        <v>657.71189500000003</v>
      </c>
      <c r="O203" s="49">
        <f>+AVERAGE($L$203:$N$203)</f>
        <v>5468.7036216666675</v>
      </c>
      <c r="P203" s="49">
        <f t="shared" ref="P203:U203" si="98">+AVERAGE($L$203:$N$203)</f>
        <v>5468.7036216666675</v>
      </c>
      <c r="Q203" s="49">
        <f t="shared" si="98"/>
        <v>5468.7036216666675</v>
      </c>
      <c r="R203" s="49">
        <f t="shared" si="98"/>
        <v>5468.7036216666675</v>
      </c>
      <c r="S203" s="49">
        <f t="shared" si="98"/>
        <v>5468.7036216666675</v>
      </c>
      <c r="T203" s="49">
        <f t="shared" si="98"/>
        <v>5468.7036216666675</v>
      </c>
      <c r="U203" s="49">
        <f t="shared" si="98"/>
        <v>5468.7036216666675</v>
      </c>
      <c r="V203" s="478"/>
      <c r="W203" s="478"/>
      <c r="X203" s="478"/>
      <c r="Y203" s="478"/>
      <c r="Z203" s="478"/>
      <c r="AA203" s="478"/>
      <c r="AB203" s="26"/>
    </row>
    <row r="204" spans="2:28" x14ac:dyDescent="0.3">
      <c r="B204" s="76" t="s">
        <v>96</v>
      </c>
      <c r="C204" s="108">
        <v>2007</v>
      </c>
      <c r="D204" s="426">
        <v>2</v>
      </c>
      <c r="E204" s="207"/>
      <c r="F204" s="399">
        <f>+OM_EF_2017!G34</f>
        <v>0.53565738803214413</v>
      </c>
      <c r="G204" s="49">
        <v>2147.3923148100002</v>
      </c>
      <c r="H204" s="49">
        <v>6196.9345160000003</v>
      </c>
      <c r="I204" s="49">
        <v>11548.431087550014</v>
      </c>
      <c r="J204" s="49">
        <v>11349.074575000001</v>
      </c>
      <c r="K204" s="49">
        <v>9975.9341299999905</v>
      </c>
      <c r="L204" s="49">
        <v>7073.2160740378231</v>
      </c>
      <c r="M204" s="49">
        <v>0</v>
      </c>
      <c r="N204" s="49">
        <v>0</v>
      </c>
      <c r="O204" s="49">
        <v>0</v>
      </c>
      <c r="P204" s="49">
        <f t="shared" ref="P204:U206" si="99">+O204</f>
        <v>0</v>
      </c>
      <c r="Q204" s="49">
        <f t="shared" si="99"/>
        <v>0</v>
      </c>
      <c r="R204" s="49">
        <f t="shared" si="99"/>
        <v>0</v>
      </c>
      <c r="S204" s="49">
        <f t="shared" si="99"/>
        <v>0</v>
      </c>
      <c r="T204" s="49">
        <f t="shared" si="99"/>
        <v>0</v>
      </c>
      <c r="U204" s="49">
        <f t="shared" si="99"/>
        <v>0</v>
      </c>
      <c r="V204" s="49"/>
      <c r="W204" s="49"/>
      <c r="X204" s="49"/>
      <c r="Y204" s="49"/>
      <c r="Z204" s="49"/>
      <c r="AA204" s="49"/>
      <c r="AB204" s="26"/>
    </row>
    <row r="205" spans="2:28" x14ac:dyDescent="0.3">
      <c r="B205" s="76" t="s">
        <v>97</v>
      </c>
      <c r="C205" s="108">
        <v>2008</v>
      </c>
      <c r="D205" s="426">
        <v>2</v>
      </c>
      <c r="E205" s="207"/>
      <c r="F205" s="399">
        <f>+OM_EF_2017!G35</f>
        <v>0.53565738803214413</v>
      </c>
      <c r="G205" s="49">
        <v>8526.9006409999947</v>
      </c>
      <c r="H205" s="49">
        <v>8851.2839679999997</v>
      </c>
      <c r="I205" s="49">
        <v>10087.290187999994</v>
      </c>
      <c r="J205" s="49">
        <v>9758.3664000000153</v>
      </c>
      <c r="K205" s="49">
        <v>4970.5611999999865</v>
      </c>
      <c r="L205" s="49">
        <v>5371.6201999999894</v>
      </c>
      <c r="M205" s="49">
        <v>0</v>
      </c>
      <c r="N205" s="49">
        <v>0</v>
      </c>
      <c r="O205" s="49">
        <v>0</v>
      </c>
      <c r="P205" s="49">
        <f t="shared" si="99"/>
        <v>0</v>
      </c>
      <c r="Q205" s="49">
        <f t="shared" si="99"/>
        <v>0</v>
      </c>
      <c r="R205" s="49">
        <f t="shared" si="99"/>
        <v>0</v>
      </c>
      <c r="S205" s="49">
        <f t="shared" si="99"/>
        <v>0</v>
      </c>
      <c r="T205" s="49">
        <f t="shared" si="99"/>
        <v>0</v>
      </c>
      <c r="U205" s="49">
        <f t="shared" si="99"/>
        <v>0</v>
      </c>
      <c r="V205" s="49"/>
      <c r="W205" s="49"/>
      <c r="X205" s="49"/>
      <c r="Y205" s="49"/>
      <c r="Z205" s="49"/>
      <c r="AA205" s="49"/>
      <c r="AB205" s="26"/>
    </row>
    <row r="206" spans="2:28" x14ac:dyDescent="0.3">
      <c r="B206" s="76" t="s">
        <v>98</v>
      </c>
      <c r="C206" s="108">
        <v>2008</v>
      </c>
      <c r="D206" s="426">
        <v>2</v>
      </c>
      <c r="E206" s="207"/>
      <c r="F206" s="399">
        <f>+OM_EF_2017!G36</f>
        <v>0.53565738803214413</v>
      </c>
      <c r="G206" s="53">
        <v>7797.8255404000083</v>
      </c>
      <c r="H206" s="53">
        <v>10123.336069999999</v>
      </c>
      <c r="I206" s="53">
        <v>9538.6528150000031</v>
      </c>
      <c r="J206" s="53">
        <v>2570.0208000000066</v>
      </c>
      <c r="K206" s="53">
        <v>7007.9093999999996</v>
      </c>
      <c r="L206" s="49">
        <v>0</v>
      </c>
      <c r="M206" s="49">
        <v>0</v>
      </c>
      <c r="N206" s="49">
        <v>0</v>
      </c>
      <c r="O206" s="49">
        <f t="shared" si="93"/>
        <v>0</v>
      </c>
      <c r="P206" s="49">
        <f t="shared" si="99"/>
        <v>0</v>
      </c>
      <c r="Q206" s="49">
        <f t="shared" si="99"/>
        <v>0</v>
      </c>
      <c r="R206" s="49">
        <f t="shared" si="99"/>
        <v>0</v>
      </c>
      <c r="S206" s="49">
        <f t="shared" si="99"/>
        <v>0</v>
      </c>
      <c r="T206" s="49">
        <f t="shared" si="99"/>
        <v>0</v>
      </c>
      <c r="U206" s="49">
        <f t="shared" si="99"/>
        <v>0</v>
      </c>
      <c r="V206" s="49"/>
      <c r="W206" s="49"/>
      <c r="X206" s="49"/>
      <c r="Y206" s="49"/>
      <c r="Z206" s="49"/>
      <c r="AA206" s="49"/>
      <c r="AB206" s="26"/>
    </row>
    <row r="207" spans="2:28" x14ac:dyDescent="0.3">
      <c r="B207" s="76" t="s">
        <v>99</v>
      </c>
      <c r="C207" s="108">
        <v>2008</v>
      </c>
      <c r="D207" s="426">
        <v>2</v>
      </c>
      <c r="E207" s="207"/>
      <c r="F207" s="399">
        <f>+OM_EF_2017!G37</f>
        <v>0.53565738803214413</v>
      </c>
      <c r="G207" s="49">
        <v>0</v>
      </c>
      <c r="H207" s="49">
        <v>4892.938408</v>
      </c>
      <c r="I207" s="49">
        <v>11580.990529000033</v>
      </c>
      <c r="J207" s="49">
        <v>10493.689199999977</v>
      </c>
      <c r="K207" s="49">
        <v>9947.2014000000054</v>
      </c>
      <c r="L207" s="53">
        <v>7564.2671999999584</v>
      </c>
      <c r="M207" s="49">
        <v>8339.7395999998589</v>
      </c>
      <c r="N207" s="49">
        <v>474.07699999999943</v>
      </c>
      <c r="O207" s="49">
        <f>+AVERAGE($L$207:$N$207)</f>
        <v>5459.3612666666058</v>
      </c>
      <c r="P207" s="49">
        <f t="shared" ref="P207:U207" si="100">+AVERAGE($L$207:$N$207)</f>
        <v>5459.3612666666058</v>
      </c>
      <c r="Q207" s="49">
        <f t="shared" si="100"/>
        <v>5459.3612666666058</v>
      </c>
      <c r="R207" s="49">
        <f t="shared" si="100"/>
        <v>5459.3612666666058</v>
      </c>
      <c r="S207" s="49">
        <f t="shared" si="100"/>
        <v>5459.3612666666058</v>
      </c>
      <c r="T207" s="49">
        <f t="shared" si="100"/>
        <v>5459.3612666666058</v>
      </c>
      <c r="U207" s="49">
        <f t="shared" si="100"/>
        <v>5459.3612666666058</v>
      </c>
      <c r="V207" s="478"/>
      <c r="W207" s="478"/>
      <c r="X207" s="478"/>
      <c r="Y207" s="478"/>
      <c r="Z207" s="478"/>
      <c r="AA207" s="478"/>
      <c r="AB207" s="26"/>
    </row>
    <row r="208" spans="2:28" x14ac:dyDescent="0.3">
      <c r="B208" s="77" t="s">
        <v>20</v>
      </c>
      <c r="C208" s="421"/>
      <c r="D208" s="75"/>
      <c r="E208" s="75"/>
      <c r="F208" s="398"/>
      <c r="G208" s="61"/>
      <c r="H208" s="61"/>
      <c r="I208" s="61"/>
      <c r="J208" s="61"/>
      <c r="K208" s="61"/>
      <c r="L208" s="61"/>
      <c r="M208" s="61"/>
      <c r="N208" s="61"/>
      <c r="O208" s="61"/>
      <c r="P208" s="61"/>
      <c r="Q208" s="61"/>
      <c r="R208" s="61"/>
      <c r="S208" s="61"/>
      <c r="T208" s="61"/>
      <c r="U208" s="61"/>
      <c r="V208" s="61"/>
      <c r="W208" s="61"/>
      <c r="X208" s="61"/>
      <c r="Y208" s="61"/>
      <c r="Z208" s="61"/>
      <c r="AA208" s="61"/>
      <c r="AB208" s="26"/>
    </row>
    <row r="209" spans="2:28" x14ac:dyDescent="0.3">
      <c r="B209" s="76" t="s">
        <v>113</v>
      </c>
      <c r="C209" s="108">
        <v>2000</v>
      </c>
      <c r="D209" s="426">
        <v>45</v>
      </c>
      <c r="E209" s="207"/>
      <c r="F209" s="399">
        <f>+OM_EF_2017!G39</f>
        <v>0.53293470959573763</v>
      </c>
      <c r="G209" s="49">
        <v>320717</v>
      </c>
      <c r="H209" s="49">
        <v>327166</v>
      </c>
      <c r="I209" s="49">
        <v>106480</v>
      </c>
      <c r="J209" s="49">
        <v>287973.53399999999</v>
      </c>
      <c r="K209" s="49">
        <v>269807.61800000013</v>
      </c>
      <c r="L209" s="49">
        <v>253280.23099999985</v>
      </c>
      <c r="M209" s="49">
        <v>223504.63100000005</v>
      </c>
      <c r="N209" s="49">
        <v>237695.82099999994</v>
      </c>
      <c r="O209" s="49">
        <f>+AVERAGE($L$209:$N$209)</f>
        <v>238160.22766666661</v>
      </c>
      <c r="P209" s="49">
        <f t="shared" ref="P209:U209" si="101">+AVERAGE($L$209:$N$209)</f>
        <v>238160.22766666661</v>
      </c>
      <c r="Q209" s="49">
        <f t="shared" si="101"/>
        <v>238160.22766666661</v>
      </c>
      <c r="R209" s="49">
        <f t="shared" si="101"/>
        <v>238160.22766666661</v>
      </c>
      <c r="S209" s="49">
        <f t="shared" si="101"/>
        <v>238160.22766666661</v>
      </c>
      <c r="T209" s="49">
        <f t="shared" si="101"/>
        <v>238160.22766666661</v>
      </c>
      <c r="U209" s="49">
        <f t="shared" si="101"/>
        <v>238160.22766666661</v>
      </c>
      <c r="V209" s="478"/>
      <c r="W209" s="478"/>
      <c r="X209" s="478"/>
      <c r="Y209" s="478"/>
      <c r="Z209" s="478"/>
      <c r="AA209" s="478"/>
      <c r="AB209" s="26"/>
    </row>
    <row r="210" spans="2:28" x14ac:dyDescent="0.3">
      <c r="B210" s="76" t="s">
        <v>114</v>
      </c>
      <c r="C210" s="108">
        <v>2000</v>
      </c>
      <c r="D210" s="426">
        <v>45</v>
      </c>
      <c r="E210" s="207"/>
      <c r="F210" s="399">
        <f>+OM_EF_2017!G40</f>
        <v>0.53630846331041515</v>
      </c>
      <c r="G210" s="49">
        <v>331746</v>
      </c>
      <c r="H210" s="49">
        <v>326073</v>
      </c>
      <c r="I210" s="49">
        <v>289542</v>
      </c>
      <c r="J210" s="49">
        <v>202260.81000000006</v>
      </c>
      <c r="K210" s="49">
        <v>173568.66000000032</v>
      </c>
      <c r="L210" s="49">
        <v>33037.908999999891</v>
      </c>
      <c r="M210" s="49">
        <v>15850.489000000001</v>
      </c>
      <c r="N210" s="49">
        <v>77027.985999999757</v>
      </c>
      <c r="O210" s="49">
        <f>+AVERAGE($L$210:$N$210)</f>
        <v>41972.127999999881</v>
      </c>
      <c r="P210" s="49">
        <f t="shared" ref="P210:U210" si="102">+AVERAGE($L$210:$N$210)</f>
        <v>41972.127999999881</v>
      </c>
      <c r="Q210" s="49">
        <f t="shared" si="102"/>
        <v>41972.127999999881</v>
      </c>
      <c r="R210" s="49">
        <f t="shared" si="102"/>
        <v>41972.127999999881</v>
      </c>
      <c r="S210" s="49">
        <f t="shared" si="102"/>
        <v>41972.127999999881</v>
      </c>
      <c r="T210" s="49">
        <f t="shared" si="102"/>
        <v>41972.127999999881</v>
      </c>
      <c r="U210" s="49">
        <f t="shared" si="102"/>
        <v>41972.127999999881</v>
      </c>
      <c r="V210" s="478"/>
      <c r="W210" s="478"/>
      <c r="X210" s="478"/>
      <c r="Y210" s="478"/>
      <c r="Z210" s="478"/>
      <c r="AA210" s="478"/>
      <c r="AB210" s="26"/>
    </row>
    <row r="211" spans="2:28" x14ac:dyDescent="0.3">
      <c r="B211" s="76" t="s">
        <v>326</v>
      </c>
      <c r="C211" s="108">
        <v>2014</v>
      </c>
      <c r="D211" s="426">
        <v>49.02</v>
      </c>
      <c r="E211" s="207"/>
      <c r="F211" s="399">
        <f>+OM_EF_2017!G41</f>
        <v>0.52168886388014557</v>
      </c>
      <c r="G211" s="49"/>
      <c r="H211" s="49"/>
      <c r="I211" s="49"/>
      <c r="J211" s="49"/>
      <c r="K211" s="49">
        <v>265758.58129</v>
      </c>
      <c r="L211" s="49">
        <v>313954.44199999998</v>
      </c>
      <c r="M211" s="49">
        <v>125500.57599999997</v>
      </c>
      <c r="N211" s="49">
        <v>239710.45899999986</v>
      </c>
      <c r="O211" s="49">
        <f>+AVERAGE($L$211:$N$211)</f>
        <v>226388.49233333324</v>
      </c>
      <c r="P211" s="49">
        <f t="shared" ref="P211:U211" si="103">+AVERAGE($L$211:$N$211)</f>
        <v>226388.49233333324</v>
      </c>
      <c r="Q211" s="49">
        <f t="shared" si="103"/>
        <v>226388.49233333324</v>
      </c>
      <c r="R211" s="49">
        <f t="shared" si="103"/>
        <v>226388.49233333324</v>
      </c>
      <c r="S211" s="49">
        <f t="shared" si="103"/>
        <v>226388.49233333324</v>
      </c>
      <c r="T211" s="49">
        <f t="shared" si="103"/>
        <v>226388.49233333324</v>
      </c>
      <c r="U211" s="49">
        <f t="shared" si="103"/>
        <v>226388.49233333324</v>
      </c>
      <c r="V211" s="478"/>
      <c r="W211" s="478"/>
      <c r="X211" s="478"/>
      <c r="Y211" s="478"/>
      <c r="Z211" s="478"/>
      <c r="AA211" s="478"/>
      <c r="AB211" s="26"/>
    </row>
    <row r="212" spans="2:28" x14ac:dyDescent="0.3">
      <c r="B212" s="77" t="s">
        <v>18</v>
      </c>
      <c r="C212" s="421"/>
      <c r="D212" s="75"/>
      <c r="E212" s="75"/>
      <c r="F212" s="398">
        <f>+OM_EF_2017!G42</f>
        <v>0.60672648117717065</v>
      </c>
      <c r="G212" s="44">
        <v>743118.82019999996</v>
      </c>
      <c r="H212" s="44">
        <v>609577.55848999997</v>
      </c>
      <c r="I212" s="44">
        <v>772580.19999999972</v>
      </c>
      <c r="J212" s="44">
        <v>667630.60999999987</v>
      </c>
      <c r="K212" s="44">
        <v>815783.94000000006</v>
      </c>
      <c r="L212" s="44">
        <v>516330.15</v>
      </c>
      <c r="M212" s="44">
        <v>440398.8600000001</v>
      </c>
      <c r="N212" s="44">
        <v>552699.28999999992</v>
      </c>
      <c r="O212" s="44">
        <f>+AVERAGE($L$212:$N$212)</f>
        <v>503142.76666666666</v>
      </c>
      <c r="P212" s="44">
        <f t="shared" ref="P212:U212" si="104">+AVERAGE($L$212:$N$212)</f>
        <v>503142.76666666666</v>
      </c>
      <c r="Q212" s="44">
        <f t="shared" si="104"/>
        <v>503142.76666666666</v>
      </c>
      <c r="R212" s="44">
        <f t="shared" si="104"/>
        <v>503142.76666666666</v>
      </c>
      <c r="S212" s="44">
        <f t="shared" si="104"/>
        <v>503142.76666666666</v>
      </c>
      <c r="T212" s="44">
        <f t="shared" si="104"/>
        <v>503142.76666666666</v>
      </c>
      <c r="U212" s="44">
        <f t="shared" si="104"/>
        <v>503142.76666666666</v>
      </c>
      <c r="V212" s="479"/>
      <c r="W212" s="479"/>
      <c r="X212" s="479"/>
      <c r="Y212" s="479"/>
      <c r="Z212" s="479"/>
      <c r="AA212" s="479"/>
      <c r="AB212" s="26"/>
    </row>
    <row r="213" spans="2:28" x14ac:dyDescent="0.3">
      <c r="B213" s="76" t="s">
        <v>105</v>
      </c>
      <c r="C213" s="108">
        <v>1996</v>
      </c>
      <c r="D213" s="426">
        <v>56</v>
      </c>
      <c r="E213" s="207"/>
      <c r="F213" s="399">
        <f>+OM_EF_2017!G43</f>
        <v>0.59295201252000207</v>
      </c>
      <c r="G213" s="111"/>
      <c r="H213" s="111"/>
      <c r="I213" s="111"/>
      <c r="J213" s="111"/>
      <c r="K213" s="111"/>
      <c r="L213" s="111"/>
      <c r="M213" s="111"/>
      <c r="N213" s="111"/>
      <c r="O213" s="111"/>
      <c r="P213" s="111"/>
      <c r="Q213" s="111"/>
      <c r="R213" s="111"/>
      <c r="S213" s="111"/>
      <c r="T213" s="111"/>
      <c r="U213" s="111"/>
      <c r="V213" s="111"/>
      <c r="W213" s="111"/>
      <c r="X213" s="111"/>
      <c r="Y213" s="111"/>
      <c r="Z213" s="111"/>
      <c r="AA213" s="111"/>
      <c r="AB213" s="26"/>
    </row>
    <row r="214" spans="2:28" x14ac:dyDescent="0.3">
      <c r="B214" s="76" t="s">
        <v>106</v>
      </c>
      <c r="C214" s="108">
        <v>1996</v>
      </c>
      <c r="D214" s="426">
        <v>56</v>
      </c>
      <c r="E214" s="207"/>
      <c r="F214" s="399">
        <f>+OM_EF_2017!G44</f>
        <v>0.64048050783379351</v>
      </c>
      <c r="G214" s="269"/>
      <c r="H214" s="53"/>
      <c r="I214" s="269"/>
      <c r="J214" s="269"/>
      <c r="K214" s="269"/>
      <c r="L214" s="269"/>
      <c r="M214" s="269"/>
      <c r="N214" s="269"/>
      <c r="O214" s="269"/>
      <c r="P214" s="269"/>
      <c r="Q214" s="269"/>
      <c r="R214" s="269"/>
      <c r="S214" s="269"/>
      <c r="T214" s="269"/>
      <c r="U214" s="269"/>
      <c r="V214" s="269"/>
      <c r="W214" s="269"/>
      <c r="X214" s="269"/>
      <c r="Y214" s="269"/>
      <c r="Z214" s="269"/>
      <c r="AA214" s="269"/>
      <c r="AB214" s="26"/>
    </row>
    <row r="215" spans="2:28" x14ac:dyDescent="0.3">
      <c r="B215" s="76" t="s">
        <v>315</v>
      </c>
      <c r="C215" s="108"/>
      <c r="D215" s="426">
        <v>24.4</v>
      </c>
      <c r="E215" s="207"/>
      <c r="F215" s="399">
        <f>+OM_EF_2017!G45</f>
        <v>0.56087175789973454</v>
      </c>
      <c r="G215" s="53"/>
      <c r="H215" s="53">
        <v>7408.7086380000001</v>
      </c>
      <c r="I215" s="53"/>
      <c r="J215" s="53"/>
      <c r="K215" s="53"/>
      <c r="L215" s="53"/>
      <c r="M215" s="53"/>
      <c r="N215" s="53"/>
      <c r="O215" s="53"/>
      <c r="P215" s="53"/>
      <c r="Q215" s="53"/>
      <c r="R215" s="53"/>
      <c r="S215" s="53"/>
      <c r="T215" s="53"/>
      <c r="U215" s="53"/>
      <c r="V215" s="53"/>
      <c r="W215" s="53"/>
      <c r="X215" s="53"/>
      <c r="Y215" s="53"/>
      <c r="Z215" s="53"/>
      <c r="AA215" s="53"/>
      <c r="AB215" s="26"/>
    </row>
    <row r="216" spans="2:28" x14ac:dyDescent="0.3">
      <c r="B216" s="77" t="s">
        <v>23</v>
      </c>
      <c r="C216" s="421"/>
      <c r="D216" s="425"/>
      <c r="E216" s="75"/>
      <c r="F216" s="398"/>
      <c r="G216" s="44"/>
      <c r="H216" s="44"/>
      <c r="I216" s="44"/>
      <c r="J216" s="44"/>
      <c r="K216" s="44"/>
      <c r="L216" s="44"/>
      <c r="M216" s="44"/>
      <c r="N216" s="44"/>
      <c r="O216" s="44"/>
      <c r="P216" s="44"/>
      <c r="Q216" s="44"/>
      <c r="R216" s="44"/>
      <c r="S216" s="44"/>
      <c r="T216" s="44"/>
      <c r="U216" s="44"/>
      <c r="V216" s="44"/>
      <c r="W216" s="44"/>
      <c r="X216" s="44"/>
      <c r="Y216" s="44"/>
      <c r="Z216" s="44"/>
      <c r="AA216" s="44"/>
      <c r="AB216" s="26"/>
    </row>
    <row r="217" spans="2:28" x14ac:dyDescent="0.3">
      <c r="B217" s="76" t="s">
        <v>107</v>
      </c>
      <c r="C217" s="108">
        <v>2010</v>
      </c>
      <c r="D217" s="426">
        <v>23</v>
      </c>
      <c r="E217" s="207"/>
      <c r="F217" s="399">
        <f>+OM_EF_2017!G47</f>
        <v>0.59224174858007006</v>
      </c>
      <c r="G217" s="53">
        <v>94768</v>
      </c>
      <c r="H217" s="53">
        <v>186730</v>
      </c>
      <c r="I217" s="53">
        <v>193238</v>
      </c>
      <c r="J217" s="53">
        <v>176801</v>
      </c>
      <c r="K217" s="53">
        <v>173128</v>
      </c>
      <c r="L217" s="53">
        <v>75240</v>
      </c>
      <c r="M217" s="53">
        <v>152450</v>
      </c>
      <c r="N217" s="53">
        <v>36192</v>
      </c>
      <c r="O217" s="49">
        <f>+AVERAGE($L$217:$N$217)</f>
        <v>87960.666666666672</v>
      </c>
      <c r="P217" s="49">
        <f t="shared" ref="P217:U217" si="105">+AVERAGE($L$217:$N$217)</f>
        <v>87960.666666666672</v>
      </c>
      <c r="Q217" s="49">
        <f t="shared" si="105"/>
        <v>87960.666666666672</v>
      </c>
      <c r="R217" s="49">
        <f t="shared" si="105"/>
        <v>87960.666666666672</v>
      </c>
      <c r="S217" s="49">
        <f t="shared" si="105"/>
        <v>87960.666666666672</v>
      </c>
      <c r="T217" s="49">
        <f t="shared" si="105"/>
        <v>87960.666666666672</v>
      </c>
      <c r="U217" s="49">
        <f t="shared" si="105"/>
        <v>87960.666666666672</v>
      </c>
      <c r="V217" s="478"/>
      <c r="W217" s="478"/>
      <c r="X217" s="478"/>
      <c r="Y217" s="478"/>
      <c r="Z217" s="478"/>
      <c r="AA217" s="478"/>
      <c r="AB217" s="26"/>
    </row>
    <row r="218" spans="2:28" x14ac:dyDescent="0.3">
      <c r="B218" s="76" t="s">
        <v>108</v>
      </c>
      <c r="C218" s="108">
        <v>2010</v>
      </c>
      <c r="D218" s="426">
        <v>23</v>
      </c>
      <c r="E218" s="207"/>
      <c r="F218" s="399">
        <f>+OM_EF_2017!G48</f>
        <v>0.59170905062512091</v>
      </c>
      <c r="G218" s="53">
        <v>123773.2823375</v>
      </c>
      <c r="H218" s="53">
        <v>193364</v>
      </c>
      <c r="I218" s="53">
        <v>193432</v>
      </c>
      <c r="J218" s="53">
        <v>175773</v>
      </c>
      <c r="K218" s="53">
        <v>165138</v>
      </c>
      <c r="L218" s="53">
        <v>85293</v>
      </c>
      <c r="M218" s="53">
        <v>168623</v>
      </c>
      <c r="N218" s="53">
        <v>52744</v>
      </c>
      <c r="O218" s="49">
        <f>+AVERAGE($L$218:$N$218)</f>
        <v>102220</v>
      </c>
      <c r="P218" s="49">
        <f t="shared" ref="P218:U218" si="106">+AVERAGE($L$218:$N$218)</f>
        <v>102220</v>
      </c>
      <c r="Q218" s="49">
        <f t="shared" si="106"/>
        <v>102220</v>
      </c>
      <c r="R218" s="49">
        <f t="shared" si="106"/>
        <v>102220</v>
      </c>
      <c r="S218" s="49">
        <f t="shared" si="106"/>
        <v>102220</v>
      </c>
      <c r="T218" s="49">
        <f t="shared" si="106"/>
        <v>102220</v>
      </c>
      <c r="U218" s="49">
        <f t="shared" si="106"/>
        <v>102220</v>
      </c>
      <c r="V218" s="478"/>
      <c r="W218" s="478"/>
      <c r="X218" s="478"/>
      <c r="Y218" s="478"/>
      <c r="Z218" s="478"/>
      <c r="AA218" s="478"/>
      <c r="AB218" s="26"/>
    </row>
    <row r="219" spans="2:28" x14ac:dyDescent="0.3">
      <c r="B219" s="76" t="s">
        <v>109</v>
      </c>
      <c r="C219" s="108">
        <v>2010</v>
      </c>
      <c r="D219" s="426">
        <v>25</v>
      </c>
      <c r="E219" s="207"/>
      <c r="F219" s="399">
        <f>+OM_EF_2017!G49</f>
        <v>0.59176823928678191</v>
      </c>
      <c r="G219" s="53">
        <v>109541.1267625</v>
      </c>
      <c r="H219" s="53">
        <v>170825</v>
      </c>
      <c r="I219" s="53">
        <v>196674</v>
      </c>
      <c r="J219" s="53">
        <v>195325</v>
      </c>
      <c r="K219" s="53">
        <v>173443</v>
      </c>
      <c r="L219" s="53">
        <v>74301</v>
      </c>
      <c r="M219" s="53">
        <v>182321</v>
      </c>
      <c r="N219" s="53">
        <v>60409</v>
      </c>
      <c r="O219" s="49">
        <f>+AVERAGE($L$219:$N$219)</f>
        <v>105677</v>
      </c>
      <c r="P219" s="49">
        <f t="shared" ref="P219:U219" si="107">+AVERAGE($L$219:$N$219)</f>
        <v>105677</v>
      </c>
      <c r="Q219" s="49">
        <f t="shared" si="107"/>
        <v>105677</v>
      </c>
      <c r="R219" s="49">
        <f t="shared" si="107"/>
        <v>105677</v>
      </c>
      <c r="S219" s="49">
        <f t="shared" si="107"/>
        <v>105677</v>
      </c>
      <c r="T219" s="49">
        <f t="shared" si="107"/>
        <v>105677</v>
      </c>
      <c r="U219" s="49">
        <f t="shared" si="107"/>
        <v>105677</v>
      </c>
      <c r="V219" s="478"/>
      <c r="W219" s="478"/>
      <c r="X219" s="478"/>
      <c r="Y219" s="478"/>
      <c r="Z219" s="478"/>
      <c r="AA219" s="478"/>
      <c r="AB219" s="26"/>
    </row>
    <row r="220" spans="2:28" x14ac:dyDescent="0.3">
      <c r="B220" s="76" t="s">
        <v>110</v>
      </c>
      <c r="C220" s="108">
        <v>2010</v>
      </c>
      <c r="D220" s="426">
        <v>25</v>
      </c>
      <c r="E220" s="207"/>
      <c r="F220" s="399">
        <f>+OM_EF_2017!G50</f>
        <v>0.59703603017461182</v>
      </c>
      <c r="G220" s="53">
        <v>77401.001000000004</v>
      </c>
      <c r="H220" s="53">
        <v>187411</v>
      </c>
      <c r="I220" s="53">
        <v>183871</v>
      </c>
      <c r="J220" s="53">
        <v>186743</v>
      </c>
      <c r="K220" s="53">
        <v>193663</v>
      </c>
      <c r="L220" s="53">
        <v>89367</v>
      </c>
      <c r="M220" s="53">
        <v>182872</v>
      </c>
      <c r="N220" s="53">
        <v>46175</v>
      </c>
      <c r="O220" s="49">
        <f>+AVERAGE($L$220:$N$220)</f>
        <v>106138</v>
      </c>
      <c r="P220" s="49">
        <f t="shared" ref="P220:U220" si="108">+AVERAGE($L$220:$N$220)</f>
        <v>106138</v>
      </c>
      <c r="Q220" s="49">
        <f t="shared" si="108"/>
        <v>106138</v>
      </c>
      <c r="R220" s="49">
        <f t="shared" si="108"/>
        <v>106138</v>
      </c>
      <c r="S220" s="49">
        <f t="shared" si="108"/>
        <v>106138</v>
      </c>
      <c r="T220" s="49">
        <f t="shared" si="108"/>
        <v>106138</v>
      </c>
      <c r="U220" s="49">
        <f t="shared" si="108"/>
        <v>106138</v>
      </c>
      <c r="V220" s="478"/>
      <c r="W220" s="478"/>
      <c r="X220" s="478"/>
      <c r="Y220" s="478"/>
      <c r="Z220" s="478"/>
      <c r="AA220" s="478"/>
      <c r="AB220" s="26"/>
    </row>
    <row r="221" spans="2:28" x14ac:dyDescent="0.3">
      <c r="B221" s="77" t="s">
        <v>16</v>
      </c>
      <c r="C221" s="421"/>
      <c r="D221" s="425"/>
      <c r="E221" s="75"/>
      <c r="F221" s="398"/>
      <c r="G221" s="61"/>
      <c r="H221" s="61"/>
      <c r="I221" s="61"/>
      <c r="J221" s="61"/>
      <c r="K221" s="61"/>
      <c r="L221" s="61"/>
      <c r="M221" s="61"/>
      <c r="N221" s="61"/>
      <c r="O221" s="61"/>
      <c r="P221" s="61"/>
      <c r="Q221" s="61"/>
      <c r="R221" s="61"/>
      <c r="S221" s="61"/>
      <c r="T221" s="61"/>
      <c r="U221" s="61"/>
      <c r="V221" s="61"/>
      <c r="W221" s="61"/>
      <c r="X221" s="61"/>
      <c r="Y221" s="61"/>
      <c r="Z221" s="61"/>
      <c r="AA221" s="61"/>
      <c r="AB221" s="26"/>
    </row>
    <row r="222" spans="2:28" x14ac:dyDescent="0.3">
      <c r="B222" s="76" t="s">
        <v>78</v>
      </c>
      <c r="C222" s="108">
        <v>1975</v>
      </c>
      <c r="D222" s="426">
        <v>22</v>
      </c>
      <c r="E222" s="207"/>
      <c r="F222" s="399">
        <f>+OM_EF_2017!G52</f>
        <v>0.70854746874395536</v>
      </c>
      <c r="G222" s="49">
        <v>54977.579999999987</v>
      </c>
      <c r="H222" s="49">
        <v>31424.37</v>
      </c>
      <c r="I222" s="49">
        <v>44186.280000000006</v>
      </c>
      <c r="J222" s="49">
        <v>6585.9599999999991</v>
      </c>
      <c r="K222" s="49">
        <v>15638.4</v>
      </c>
      <c r="L222" s="49">
        <v>14091.300000000003</v>
      </c>
      <c r="M222" s="49">
        <v>42919.199999999997</v>
      </c>
      <c r="N222" s="49">
        <v>41459.700000000004</v>
      </c>
      <c r="O222" s="49">
        <f>+AVERAGE($L$222:$N$222)</f>
        <v>32823.4</v>
      </c>
      <c r="P222" s="49">
        <f t="shared" ref="P222" si="109">+AVERAGE($L$222:$N$222)</f>
        <v>32823.4</v>
      </c>
      <c r="Q222" s="478"/>
      <c r="R222" s="478"/>
      <c r="S222" s="478"/>
      <c r="T222" s="478"/>
      <c r="U222" s="478"/>
      <c r="V222" s="478"/>
      <c r="W222" s="478"/>
      <c r="X222" s="478"/>
      <c r="Y222" s="478"/>
      <c r="Z222" s="478"/>
      <c r="AA222" s="478"/>
      <c r="AB222" s="26"/>
    </row>
    <row r="223" spans="2:28" x14ac:dyDescent="0.3">
      <c r="B223" s="76" t="s">
        <v>79</v>
      </c>
      <c r="C223" s="108">
        <v>1977</v>
      </c>
      <c r="D223" s="426">
        <v>20</v>
      </c>
      <c r="E223" s="207"/>
      <c r="F223" s="399">
        <f>+OM_EF_2017!G53</f>
        <v>0.74548119362042586</v>
      </c>
      <c r="G223" s="49">
        <v>44343.569999999992</v>
      </c>
      <c r="H223" s="49">
        <v>38362.5</v>
      </c>
      <c r="I223" s="49">
        <v>31007.909999999996</v>
      </c>
      <c r="J223" s="49">
        <v>4921.4399999999996</v>
      </c>
      <c r="K223" s="49">
        <v>14575.08</v>
      </c>
      <c r="L223" s="49">
        <v>10209.6</v>
      </c>
      <c r="M223" s="49">
        <v>28229.760000000002</v>
      </c>
      <c r="N223" s="49">
        <v>20603.039999999997</v>
      </c>
      <c r="O223" s="49">
        <f>+AVERAGE($L$223:$N$223)</f>
        <v>19680.8</v>
      </c>
      <c r="P223" s="49">
        <f t="shared" ref="P223" si="110">+AVERAGE($L$223:$N$223)</f>
        <v>19680.8</v>
      </c>
      <c r="Q223" s="478"/>
      <c r="R223" s="478"/>
      <c r="S223" s="478"/>
      <c r="T223" s="478"/>
      <c r="U223" s="478"/>
      <c r="V223" s="478"/>
      <c r="W223" s="478"/>
      <c r="X223" s="478"/>
      <c r="Y223" s="478"/>
      <c r="Z223" s="478"/>
      <c r="AA223" s="478"/>
      <c r="AB223" s="26"/>
    </row>
    <row r="224" spans="2:28" x14ac:dyDescent="0.3">
      <c r="B224" s="76" t="s">
        <v>80</v>
      </c>
      <c r="C224" s="108">
        <v>1980</v>
      </c>
      <c r="D224" s="426">
        <v>20</v>
      </c>
      <c r="E224" s="207"/>
      <c r="F224" s="399">
        <f>+OM_EF_2017!G54</f>
        <v>0.75962728375740729</v>
      </c>
      <c r="G224" s="49">
        <v>35434.590000000004</v>
      </c>
      <c r="H224" s="49">
        <v>65185.067999999999</v>
      </c>
      <c r="I224" s="49">
        <v>40516.368000000002</v>
      </c>
      <c r="J224" s="49">
        <v>17730.18</v>
      </c>
      <c r="K224" s="49">
        <v>24451.464</v>
      </c>
      <c r="L224" s="49">
        <v>13814.243999999999</v>
      </c>
      <c r="M224" s="49">
        <v>43634.928000000007</v>
      </c>
      <c r="N224" s="49">
        <v>24144.995999999996</v>
      </c>
      <c r="O224" s="49">
        <f>AVERAGE($L$224:$N$224)</f>
        <v>27198.056</v>
      </c>
      <c r="P224" s="49">
        <f t="shared" ref="P224" si="111">AVERAGE($L$224:$N$224)</f>
        <v>27198.056</v>
      </c>
      <c r="Q224" s="478"/>
      <c r="R224" s="478"/>
      <c r="S224" s="478"/>
      <c r="T224" s="478"/>
      <c r="U224" s="478"/>
      <c r="V224" s="478"/>
      <c r="W224" s="478"/>
      <c r="X224" s="478"/>
      <c r="Y224" s="478"/>
      <c r="Z224" s="478"/>
      <c r="AA224" s="478"/>
      <c r="AB224" s="26"/>
    </row>
    <row r="225" spans="2:28" x14ac:dyDescent="0.3">
      <c r="B225" s="76" t="s">
        <v>81</v>
      </c>
      <c r="C225" s="108">
        <v>1988</v>
      </c>
      <c r="D225" s="426">
        <v>21</v>
      </c>
      <c r="E225" s="207"/>
      <c r="F225" s="399">
        <f>+OM_EF_2017!G55</f>
        <v>0.74838143804181545</v>
      </c>
      <c r="G225" s="49">
        <v>47583.179999999993</v>
      </c>
      <c r="H225" s="49">
        <v>73021.77</v>
      </c>
      <c r="I225" s="49">
        <v>79926.345000000001</v>
      </c>
      <c r="J225" s="49">
        <v>32721.119999999995</v>
      </c>
      <c r="K225" s="49">
        <v>52400.755703329996</v>
      </c>
      <c r="L225" s="49">
        <v>49910.714999999997</v>
      </c>
      <c r="M225" s="49">
        <v>73438.604999999996</v>
      </c>
      <c r="N225" s="49">
        <v>47740.184999999998</v>
      </c>
      <c r="O225" s="49">
        <f>AVERAGE($L$225:$N$225)</f>
        <v>57029.834999999999</v>
      </c>
      <c r="P225" s="49">
        <f t="shared" ref="P225" si="112">AVERAGE($L$225:$N$225)</f>
        <v>57029.834999999999</v>
      </c>
      <c r="Q225" s="478"/>
      <c r="R225" s="478"/>
      <c r="S225" s="478"/>
      <c r="T225" s="478"/>
      <c r="U225" s="478"/>
      <c r="V225" s="478"/>
      <c r="W225" s="478"/>
      <c r="X225" s="478"/>
      <c r="Y225" s="478"/>
      <c r="Z225" s="478"/>
      <c r="AA225" s="478"/>
      <c r="AB225" s="26"/>
    </row>
    <row r="226" spans="2:28" x14ac:dyDescent="0.3">
      <c r="B226" s="76" t="s">
        <v>118</v>
      </c>
      <c r="C226" s="108"/>
      <c r="D226" s="426"/>
      <c r="E226" s="207"/>
      <c r="F226" s="399"/>
      <c r="G226" s="49">
        <v>0</v>
      </c>
      <c r="H226" s="49">
        <v>0</v>
      </c>
      <c r="I226" s="49">
        <v>0</v>
      </c>
      <c r="J226" s="49">
        <v>0</v>
      </c>
      <c r="K226" s="49">
        <v>0</v>
      </c>
      <c r="L226" s="49">
        <v>0</v>
      </c>
      <c r="M226" s="49">
        <v>0</v>
      </c>
      <c r="N226" s="49">
        <v>0</v>
      </c>
      <c r="O226" s="49">
        <f t="shared" ref="O226:O243" si="113">+AVERAGE(L226:N226)</f>
        <v>0</v>
      </c>
      <c r="P226" s="49">
        <f t="shared" ref="P226:AA226" si="114">+O226</f>
        <v>0</v>
      </c>
      <c r="Q226" s="49">
        <f t="shared" si="114"/>
        <v>0</v>
      </c>
      <c r="R226" s="49">
        <f t="shared" si="114"/>
        <v>0</v>
      </c>
      <c r="S226" s="49">
        <f t="shared" si="114"/>
        <v>0</v>
      </c>
      <c r="T226" s="49">
        <f t="shared" si="114"/>
        <v>0</v>
      </c>
      <c r="U226" s="49">
        <f t="shared" si="114"/>
        <v>0</v>
      </c>
      <c r="V226" s="49">
        <f t="shared" si="114"/>
        <v>0</v>
      </c>
      <c r="W226" s="49">
        <f t="shared" si="114"/>
        <v>0</v>
      </c>
      <c r="X226" s="49">
        <f t="shared" si="114"/>
        <v>0</v>
      </c>
      <c r="Y226" s="49">
        <f t="shared" si="114"/>
        <v>0</v>
      </c>
      <c r="Z226" s="49">
        <f t="shared" si="114"/>
        <v>0</v>
      </c>
      <c r="AA226" s="49">
        <f t="shared" si="114"/>
        <v>0</v>
      </c>
      <c r="AB226" s="26"/>
    </row>
    <row r="227" spans="2:28" x14ac:dyDescent="0.3">
      <c r="B227" s="76" t="s">
        <v>82</v>
      </c>
      <c r="C227" s="108">
        <v>1999</v>
      </c>
      <c r="D227" s="426">
        <v>63</v>
      </c>
      <c r="E227" s="207"/>
      <c r="F227" s="399">
        <f>+OM_EF_2017!G56</f>
        <v>0.59602982292637463</v>
      </c>
      <c r="G227" s="49">
        <v>0</v>
      </c>
      <c r="H227" s="49">
        <v>0</v>
      </c>
      <c r="I227" s="49">
        <v>345670.74</v>
      </c>
      <c r="J227" s="49">
        <v>479429.598</v>
      </c>
      <c r="K227" s="49">
        <v>420127.47135156026</v>
      </c>
      <c r="L227" s="49">
        <v>459226.69199999992</v>
      </c>
      <c r="M227" s="49">
        <v>240047.45999999993</v>
      </c>
      <c r="N227" s="49">
        <v>381288.42</v>
      </c>
      <c r="O227" s="49">
        <f>+AVERAGE($L$227:$N$227)</f>
        <v>360187.52399999998</v>
      </c>
      <c r="P227" s="49">
        <f t="shared" ref="P227:U227" si="115">+AVERAGE($L$227:$N$227)</f>
        <v>360187.52399999998</v>
      </c>
      <c r="Q227" s="49">
        <f t="shared" si="115"/>
        <v>360187.52399999998</v>
      </c>
      <c r="R227" s="49">
        <f t="shared" si="115"/>
        <v>360187.52399999998</v>
      </c>
      <c r="S227" s="49">
        <f t="shared" si="115"/>
        <v>360187.52399999998</v>
      </c>
      <c r="T227" s="49">
        <f t="shared" si="115"/>
        <v>360187.52399999998</v>
      </c>
      <c r="U227" s="49">
        <f t="shared" si="115"/>
        <v>360187.52399999998</v>
      </c>
      <c r="V227" s="478"/>
      <c r="W227" s="478"/>
      <c r="X227" s="478"/>
      <c r="Y227" s="478"/>
      <c r="Z227" s="478"/>
      <c r="AA227" s="478"/>
      <c r="AB227" s="26"/>
    </row>
    <row r="228" spans="2:28" x14ac:dyDescent="0.3">
      <c r="B228" s="76" t="s">
        <v>83</v>
      </c>
      <c r="C228" s="108">
        <v>1999</v>
      </c>
      <c r="D228" s="426">
        <v>63</v>
      </c>
      <c r="E228" s="207"/>
      <c r="F228" s="399">
        <f>+OM_EF_2017!G57</f>
        <v>0.59602982292637463</v>
      </c>
      <c r="G228" s="49">
        <v>304167.35200000001</v>
      </c>
      <c r="H228" s="49">
        <v>362328.33600000001</v>
      </c>
      <c r="I228" s="49">
        <v>425317.902</v>
      </c>
      <c r="J228" s="49">
        <v>461289.34800000006</v>
      </c>
      <c r="K228" s="49">
        <v>412122.105063011</v>
      </c>
      <c r="L228" s="49">
        <v>378806.54399999999</v>
      </c>
      <c r="M228" s="49">
        <v>386168.79599999997</v>
      </c>
      <c r="N228" s="49">
        <v>365210.38799999998</v>
      </c>
      <c r="O228" s="49">
        <f>+AVERAGE($L$228:$N$228)</f>
        <v>376728.57599999994</v>
      </c>
      <c r="P228" s="49">
        <f t="shared" ref="P228:U228" si="116">+AVERAGE($L$228:$N$228)</f>
        <v>376728.57599999994</v>
      </c>
      <c r="Q228" s="49">
        <f t="shared" si="116"/>
        <v>376728.57599999994</v>
      </c>
      <c r="R228" s="49">
        <f t="shared" si="116"/>
        <v>376728.57599999994</v>
      </c>
      <c r="S228" s="49">
        <f t="shared" si="116"/>
        <v>376728.57599999994</v>
      </c>
      <c r="T228" s="49">
        <f t="shared" si="116"/>
        <v>376728.57599999994</v>
      </c>
      <c r="U228" s="49">
        <f t="shared" si="116"/>
        <v>376728.57599999994</v>
      </c>
      <c r="V228" s="478"/>
      <c r="W228" s="478"/>
      <c r="X228" s="478"/>
      <c r="Y228" s="478"/>
      <c r="Z228" s="478"/>
      <c r="AA228" s="478"/>
      <c r="AB228" s="26"/>
    </row>
    <row r="229" spans="2:28" x14ac:dyDescent="0.3">
      <c r="B229" s="76" t="s">
        <v>84</v>
      </c>
      <c r="C229" s="108">
        <v>2007</v>
      </c>
      <c r="D229" s="426">
        <v>63</v>
      </c>
      <c r="E229" s="207"/>
      <c r="F229" s="399">
        <f>+OM_EF_2017!G58</f>
        <v>0.59602982292637463</v>
      </c>
      <c r="G229" s="49">
        <v>274064.72799999994</v>
      </c>
      <c r="H229" s="49">
        <v>328187.05200000003</v>
      </c>
      <c r="I229" s="49">
        <v>215762.25825000004</v>
      </c>
      <c r="J229" s="49">
        <v>201328.714125</v>
      </c>
      <c r="K229" s="49">
        <v>301526.55250000005</v>
      </c>
      <c r="L229" s="49">
        <v>234237.29225000003</v>
      </c>
      <c r="M229" s="49">
        <v>299524.30199999997</v>
      </c>
      <c r="N229" s="49">
        <v>149744.47925</v>
      </c>
      <c r="O229" s="49">
        <f>+AVERAGE($L$229:$N$229)</f>
        <v>227835.35783333331</v>
      </c>
      <c r="P229" s="49">
        <f t="shared" ref="P229:U229" si="117">+AVERAGE($L$229:$N$229)</f>
        <v>227835.35783333331</v>
      </c>
      <c r="Q229" s="49">
        <f t="shared" si="117"/>
        <v>227835.35783333331</v>
      </c>
      <c r="R229" s="49">
        <f t="shared" si="117"/>
        <v>227835.35783333331</v>
      </c>
      <c r="S229" s="49">
        <f t="shared" si="117"/>
        <v>227835.35783333331</v>
      </c>
      <c r="T229" s="49">
        <f t="shared" si="117"/>
        <v>227835.35783333331</v>
      </c>
      <c r="U229" s="49">
        <f t="shared" si="117"/>
        <v>227835.35783333331</v>
      </c>
      <c r="V229" s="478"/>
      <c r="W229" s="478"/>
      <c r="X229" s="478"/>
      <c r="Y229" s="478"/>
      <c r="Z229" s="478"/>
      <c r="AA229" s="478"/>
      <c r="AB229" s="26"/>
    </row>
    <row r="230" spans="2:28" x14ac:dyDescent="0.3">
      <c r="B230" s="76" t="s">
        <v>314</v>
      </c>
      <c r="C230" s="108">
        <v>2012</v>
      </c>
      <c r="D230" s="426">
        <v>96</v>
      </c>
      <c r="E230" s="207"/>
      <c r="F230" s="399">
        <f>+OM_EF_2017!G59</f>
        <v>0.426809439237546</v>
      </c>
      <c r="G230" s="49">
        <v>386364.63308200007</v>
      </c>
      <c r="H230" s="49">
        <v>362853.24075</v>
      </c>
      <c r="I230" s="49">
        <v>369449.51400000002</v>
      </c>
      <c r="J230" s="49">
        <v>616226.28899999999</v>
      </c>
      <c r="K230" s="49">
        <v>523552.59600000002</v>
      </c>
      <c r="L230" s="49">
        <v>544179.25994216464</v>
      </c>
      <c r="M230" s="49">
        <v>222713.652</v>
      </c>
      <c r="N230" s="49">
        <v>361213.69200000004</v>
      </c>
      <c r="O230" s="49">
        <f t="shared" ref="O230:Y230" si="118">+AVERAGE($L$230:$N$230)</f>
        <v>376035.53464738821</v>
      </c>
      <c r="P230" s="49">
        <f t="shared" si="118"/>
        <v>376035.53464738821</v>
      </c>
      <c r="Q230" s="49">
        <f t="shared" si="118"/>
        <v>376035.53464738821</v>
      </c>
      <c r="R230" s="49">
        <f t="shared" si="118"/>
        <v>376035.53464738821</v>
      </c>
      <c r="S230" s="49">
        <f t="shared" si="118"/>
        <v>376035.53464738821</v>
      </c>
      <c r="T230" s="49">
        <f t="shared" si="118"/>
        <v>376035.53464738821</v>
      </c>
      <c r="U230" s="49">
        <f t="shared" si="118"/>
        <v>376035.53464738821</v>
      </c>
      <c r="V230" s="49">
        <f t="shared" si="118"/>
        <v>376035.53464738821</v>
      </c>
      <c r="W230" s="49">
        <f t="shared" si="118"/>
        <v>376035.53464738821</v>
      </c>
      <c r="X230" s="49">
        <f t="shared" si="118"/>
        <v>376035.53464738821</v>
      </c>
      <c r="Y230" s="49">
        <f t="shared" si="118"/>
        <v>376035.53464738821</v>
      </c>
      <c r="Z230" s="478"/>
      <c r="AA230" s="478"/>
      <c r="AB230" s="26"/>
    </row>
    <row r="231" spans="2:28" x14ac:dyDescent="0.3">
      <c r="B231" s="77" t="s">
        <v>21</v>
      </c>
      <c r="C231" s="421"/>
      <c r="D231" s="425"/>
      <c r="E231" s="75"/>
      <c r="F231" s="398"/>
      <c r="G231" s="61"/>
      <c r="H231" s="61"/>
      <c r="I231" s="61"/>
      <c r="J231" s="61"/>
      <c r="K231" s="61"/>
      <c r="L231" s="61"/>
      <c r="M231" s="61"/>
      <c r="N231" s="61"/>
      <c r="O231" s="61"/>
      <c r="P231" s="61"/>
      <c r="Q231" s="61"/>
      <c r="R231" s="61"/>
      <c r="S231" s="61"/>
      <c r="T231" s="61"/>
      <c r="U231" s="61"/>
      <c r="V231" s="61"/>
      <c r="W231" s="61"/>
      <c r="X231" s="61"/>
      <c r="Y231" s="61"/>
      <c r="Z231" s="61"/>
      <c r="AA231" s="61"/>
      <c r="AB231" s="26"/>
    </row>
    <row r="232" spans="2:28" x14ac:dyDescent="0.3">
      <c r="B232" s="76" t="s">
        <v>100</v>
      </c>
      <c r="C232" s="108">
        <v>1982</v>
      </c>
      <c r="D232" s="426">
        <v>14</v>
      </c>
      <c r="E232" s="207"/>
      <c r="F232" s="399">
        <f>+OM_EF_2017!G61</f>
        <v>0.70197752729958329</v>
      </c>
      <c r="G232" s="49">
        <v>80691.735044999994</v>
      </c>
      <c r="H232" s="49">
        <v>79540.577999999994</v>
      </c>
      <c r="I232" s="49">
        <v>60267.497718999999</v>
      </c>
      <c r="J232" s="49">
        <v>84986.583595136995</v>
      </c>
      <c r="K232" s="49">
        <v>61003.532321999912</v>
      </c>
      <c r="L232" s="49">
        <v>79662.397554113864</v>
      </c>
      <c r="M232" s="49">
        <v>76545.155212149999</v>
      </c>
      <c r="N232" s="49">
        <v>41016.303</v>
      </c>
      <c r="O232" s="49">
        <f>+AVERAGE($L$232:$N$232)</f>
        <v>65741.285255421288</v>
      </c>
      <c r="P232" s="49">
        <f t="shared" ref="P232" si="119">+AVERAGE($L$232:$N$232)</f>
        <v>65741.285255421288</v>
      </c>
      <c r="Q232" s="478"/>
      <c r="R232" s="478"/>
      <c r="S232" s="478"/>
      <c r="T232" s="478"/>
      <c r="U232" s="478"/>
      <c r="V232" s="478"/>
      <c r="W232" s="478"/>
      <c r="X232" s="478"/>
      <c r="Y232" s="478"/>
      <c r="Z232" s="478"/>
      <c r="AA232" s="478"/>
      <c r="AB232" s="26"/>
    </row>
    <row r="233" spans="2:28" x14ac:dyDescent="0.3">
      <c r="B233" s="77" t="s">
        <v>22</v>
      </c>
      <c r="C233" s="421"/>
      <c r="D233" s="425"/>
      <c r="E233" s="75"/>
      <c r="F233" s="398"/>
      <c r="G233" s="61"/>
      <c r="H233" s="61"/>
      <c r="I233" s="61"/>
      <c r="J233" s="61"/>
      <c r="K233" s="61"/>
      <c r="L233" s="61"/>
      <c r="M233" s="61"/>
      <c r="N233" s="61"/>
      <c r="O233" s="61"/>
      <c r="P233" s="61"/>
      <c r="Q233" s="61"/>
      <c r="R233" s="61"/>
      <c r="S233" s="61"/>
      <c r="T233" s="61"/>
      <c r="U233" s="61"/>
      <c r="V233" s="61"/>
      <c r="W233" s="61"/>
      <c r="X233" s="61"/>
      <c r="Y233" s="61"/>
      <c r="Z233" s="61"/>
      <c r="AA233" s="61"/>
      <c r="AB233" s="26"/>
    </row>
    <row r="234" spans="2:28" x14ac:dyDescent="0.3">
      <c r="B234" s="76" t="s">
        <v>111</v>
      </c>
      <c r="C234" s="108">
        <v>1995</v>
      </c>
      <c r="D234" s="426">
        <v>9</v>
      </c>
      <c r="E234" s="207"/>
      <c r="F234" s="399">
        <f>+OM_EF_2017!G63</f>
        <v>0.71464390089503949</v>
      </c>
      <c r="G234" s="49">
        <v>46977.265625</v>
      </c>
      <c r="H234" s="49">
        <v>50444.303124999999</v>
      </c>
      <c r="I234" s="49">
        <v>50792.947500000002</v>
      </c>
      <c r="J234" s="49">
        <v>25340.758313000002</v>
      </c>
      <c r="K234" s="49">
        <v>43520.745187</v>
      </c>
      <c r="L234" s="49">
        <v>0</v>
      </c>
      <c r="M234" s="49">
        <v>1793.82</v>
      </c>
      <c r="N234" s="49">
        <v>18.810000000000002</v>
      </c>
      <c r="O234" s="49">
        <f>+AVERAGE($L$234:$N$234)</f>
        <v>604.20999999999992</v>
      </c>
      <c r="P234" s="49">
        <f t="shared" ref="P234:Q234" si="120">+AVERAGE($L$234:$N$234)</f>
        <v>604.20999999999992</v>
      </c>
      <c r="Q234" s="49">
        <f t="shared" si="120"/>
        <v>604.20999999999992</v>
      </c>
      <c r="R234" s="49">
        <v>0</v>
      </c>
      <c r="S234" s="49">
        <v>0</v>
      </c>
      <c r="T234" s="49">
        <v>0</v>
      </c>
      <c r="U234" s="49">
        <v>0</v>
      </c>
      <c r="V234" s="49">
        <v>0</v>
      </c>
      <c r="W234" s="49">
        <v>0</v>
      </c>
      <c r="X234" s="49">
        <v>0</v>
      </c>
      <c r="Y234" s="49">
        <v>0</v>
      </c>
      <c r="Z234" s="49">
        <v>0</v>
      </c>
      <c r="AA234" s="49">
        <v>0</v>
      </c>
      <c r="AB234" s="26"/>
    </row>
    <row r="235" spans="2:28" x14ac:dyDescent="0.3">
      <c r="B235" s="76" t="s">
        <v>112</v>
      </c>
      <c r="C235" s="108">
        <v>1995</v>
      </c>
      <c r="D235" s="426">
        <v>9</v>
      </c>
      <c r="E235" s="207"/>
      <c r="F235" s="399">
        <f>+OM_EF_2017!G64</f>
        <v>0.7091985440222266</v>
      </c>
      <c r="G235" s="49">
        <v>47451.323000000004</v>
      </c>
      <c r="H235" s="49">
        <v>50578.209750000002</v>
      </c>
      <c r="I235" s="49">
        <v>52201.957000000002</v>
      </c>
      <c r="J235" s="49">
        <v>20555.564869999998</v>
      </c>
      <c r="K235" s="49">
        <v>46932.179499999998</v>
      </c>
      <c r="L235" s="49">
        <v>29966.794000000005</v>
      </c>
      <c r="M235" s="49">
        <v>14728.669187500001</v>
      </c>
      <c r="N235" s="49">
        <v>14455.24559</v>
      </c>
      <c r="O235" s="49">
        <f>+AVERAGE($L$235:$N$235)</f>
        <v>19716.902925833336</v>
      </c>
      <c r="P235" s="49">
        <f t="shared" ref="P235:Q235" si="121">+AVERAGE($L$235:$N$235)</f>
        <v>19716.902925833336</v>
      </c>
      <c r="Q235" s="49">
        <f t="shared" si="121"/>
        <v>19716.902925833336</v>
      </c>
      <c r="R235" s="49">
        <v>0</v>
      </c>
      <c r="S235" s="49">
        <v>0</v>
      </c>
      <c r="T235" s="49">
        <v>0</v>
      </c>
      <c r="U235" s="49">
        <v>0</v>
      </c>
      <c r="V235" s="49">
        <v>0</v>
      </c>
      <c r="W235" s="49">
        <v>0</v>
      </c>
      <c r="X235" s="49">
        <v>0</v>
      </c>
      <c r="Y235" s="49">
        <v>0</v>
      </c>
      <c r="Z235" s="49">
        <v>0</v>
      </c>
      <c r="AA235" s="49">
        <v>0</v>
      </c>
      <c r="AB235" s="26"/>
    </row>
    <row r="236" spans="2:28" x14ac:dyDescent="0.3">
      <c r="B236" s="77" t="s">
        <v>17</v>
      </c>
      <c r="C236" s="421"/>
      <c r="D236" s="425"/>
      <c r="E236" s="75"/>
      <c r="F236" s="398"/>
      <c r="G236" s="61"/>
      <c r="H236" s="61"/>
      <c r="I236" s="61"/>
      <c r="J236" s="61"/>
      <c r="K236" s="61"/>
      <c r="L236" s="61"/>
      <c r="M236" s="61"/>
      <c r="N236" s="61"/>
      <c r="O236" s="61"/>
      <c r="P236" s="61"/>
      <c r="Q236" s="61"/>
      <c r="R236" s="61"/>
      <c r="S236" s="61"/>
      <c r="T236" s="61"/>
      <c r="U236" s="61"/>
      <c r="V236" s="61"/>
      <c r="W236" s="61"/>
      <c r="X236" s="61"/>
      <c r="Y236" s="61"/>
      <c r="Z236" s="61"/>
      <c r="AA236" s="61"/>
      <c r="AB236" s="26"/>
    </row>
    <row r="237" spans="2:28" x14ac:dyDescent="0.3">
      <c r="B237" s="76" t="s">
        <v>85</v>
      </c>
      <c r="C237" s="108">
        <v>2009</v>
      </c>
      <c r="D237" s="426">
        <v>22</v>
      </c>
      <c r="E237" s="207"/>
      <c r="F237" s="399">
        <f>+OM_EF_2017!G66</f>
        <v>0.70138564068297304</v>
      </c>
      <c r="G237" s="49">
        <v>73485.584999999992</v>
      </c>
      <c r="H237" s="49">
        <v>82841.692500000005</v>
      </c>
      <c r="I237" s="49">
        <v>69552.787499999991</v>
      </c>
      <c r="J237" s="49">
        <v>23800.942902800001</v>
      </c>
      <c r="K237" s="49">
        <v>44110.71</v>
      </c>
      <c r="L237" s="49">
        <v>44085.419999999991</v>
      </c>
      <c r="M237" s="49">
        <v>76414.35149999999</v>
      </c>
      <c r="N237" s="49">
        <v>77133.690000000017</v>
      </c>
      <c r="O237" s="49">
        <f>+AVERAGE($L$237:$N$237)</f>
        <v>65877.820499999987</v>
      </c>
      <c r="P237" s="49">
        <f t="shared" ref="P237" si="122">+AVERAGE($L$237:$N$237)</f>
        <v>65877.820499999987</v>
      </c>
      <c r="Q237" s="478"/>
      <c r="R237" s="478"/>
      <c r="S237" s="478"/>
      <c r="T237" s="478"/>
      <c r="U237" s="478"/>
      <c r="V237" s="478"/>
      <c r="W237" s="478"/>
      <c r="X237" s="478"/>
      <c r="Y237" s="478"/>
      <c r="Z237" s="478"/>
      <c r="AA237" s="478"/>
      <c r="AB237" s="26"/>
    </row>
    <row r="238" spans="2:28" x14ac:dyDescent="0.3">
      <c r="B238" s="76" t="s">
        <v>86</v>
      </c>
      <c r="C238" s="108">
        <v>2009</v>
      </c>
      <c r="D238" s="426">
        <v>22</v>
      </c>
      <c r="E238" s="207"/>
      <c r="F238" s="399">
        <f>+OM_EF_2017!G67</f>
        <v>0.69085005890731344</v>
      </c>
      <c r="G238" s="49">
        <v>86746.319999999992</v>
      </c>
      <c r="H238" s="49">
        <v>105667.14</v>
      </c>
      <c r="I238" s="49">
        <v>63985.62</v>
      </c>
      <c r="J238" s="49">
        <v>16188.9</v>
      </c>
      <c r="K238" s="49">
        <v>29892.711125046593</v>
      </c>
      <c r="L238" s="49">
        <v>35185.5</v>
      </c>
      <c r="M238" s="49">
        <v>69334.630499999999</v>
      </c>
      <c r="N238" s="49">
        <v>64466.459999999992</v>
      </c>
      <c r="O238" s="49">
        <f>+AVERAGE($L$238:$N$238)</f>
        <v>56328.863499999999</v>
      </c>
      <c r="P238" s="49">
        <f t="shared" ref="P238" si="123">+AVERAGE($L$238:$N$238)</f>
        <v>56328.863499999999</v>
      </c>
      <c r="Q238" s="478"/>
      <c r="R238" s="478"/>
      <c r="S238" s="478"/>
      <c r="T238" s="478"/>
      <c r="U238" s="478"/>
      <c r="V238" s="478"/>
      <c r="W238" s="478"/>
      <c r="X238" s="478"/>
      <c r="Y238" s="478"/>
      <c r="Z238" s="478"/>
      <c r="AA238" s="478"/>
      <c r="AB238" s="26"/>
    </row>
    <row r="239" spans="2:28" x14ac:dyDescent="0.3">
      <c r="B239" s="77" t="s">
        <v>24</v>
      </c>
      <c r="C239" s="421"/>
      <c r="D239" s="425"/>
      <c r="E239" s="75"/>
      <c r="F239" s="398"/>
      <c r="G239" s="61"/>
      <c r="H239" s="61"/>
      <c r="I239" s="61"/>
      <c r="J239" s="61"/>
      <c r="K239" s="61"/>
      <c r="L239" s="61"/>
      <c r="M239" s="61"/>
      <c r="N239" s="61"/>
      <c r="O239" s="61"/>
      <c r="P239" s="61"/>
      <c r="Q239" s="61"/>
      <c r="R239" s="61"/>
      <c r="S239" s="61"/>
      <c r="T239" s="61"/>
      <c r="U239" s="61"/>
      <c r="V239" s="61"/>
      <c r="W239" s="61"/>
      <c r="X239" s="61"/>
      <c r="Y239" s="61"/>
      <c r="Z239" s="61"/>
      <c r="AA239" s="61"/>
      <c r="AB239" s="26"/>
    </row>
    <row r="240" spans="2:28" x14ac:dyDescent="0.3">
      <c r="B240" s="76" t="s">
        <v>327</v>
      </c>
      <c r="C240" s="108">
        <v>2014</v>
      </c>
      <c r="D240" s="426">
        <v>43.83</v>
      </c>
      <c r="E240" s="207"/>
      <c r="F240" s="399">
        <f>+OM_EF_2017!G69</f>
        <v>0.55329560920712517</v>
      </c>
      <c r="G240" s="49">
        <v>0</v>
      </c>
      <c r="H240" s="49">
        <v>0</v>
      </c>
      <c r="I240" s="49">
        <v>0</v>
      </c>
      <c r="J240" s="49">
        <v>0</v>
      </c>
      <c r="K240" s="49">
        <v>84605.7</v>
      </c>
      <c r="L240" s="49">
        <v>283458</v>
      </c>
      <c r="M240" s="49">
        <v>327520.80560572003</v>
      </c>
      <c r="N240" s="49">
        <v>321801.02243377001</v>
      </c>
      <c r="O240" s="49">
        <f t="shared" si="113"/>
        <v>310926.6093464967</v>
      </c>
      <c r="P240" s="49">
        <f>O240</f>
        <v>310926.6093464967</v>
      </c>
      <c r="Q240" s="478">
        <f t="shared" ref="Q240:Y243" si="124">P240</f>
        <v>310926.6093464967</v>
      </c>
      <c r="R240" s="478">
        <f t="shared" si="124"/>
        <v>310926.6093464967</v>
      </c>
      <c r="S240" s="478">
        <f t="shared" si="124"/>
        <v>310926.6093464967</v>
      </c>
      <c r="T240" s="478">
        <f t="shared" si="124"/>
        <v>310926.6093464967</v>
      </c>
      <c r="U240" s="478">
        <f t="shared" si="124"/>
        <v>310926.6093464967</v>
      </c>
      <c r="V240" s="478">
        <f t="shared" si="124"/>
        <v>310926.6093464967</v>
      </c>
      <c r="W240" s="478">
        <f t="shared" si="124"/>
        <v>310926.6093464967</v>
      </c>
      <c r="X240" s="478">
        <f t="shared" si="124"/>
        <v>310926.6093464967</v>
      </c>
      <c r="Y240" s="478">
        <f t="shared" si="124"/>
        <v>310926.6093464967</v>
      </c>
      <c r="Z240" s="478"/>
      <c r="AA240" s="478"/>
      <c r="AB240" s="26"/>
    </row>
    <row r="241" spans="2:28" x14ac:dyDescent="0.3">
      <c r="B241" s="76" t="s">
        <v>328</v>
      </c>
      <c r="C241" s="108">
        <v>2014</v>
      </c>
      <c r="D241" s="426">
        <v>43.31</v>
      </c>
      <c r="E241" s="207"/>
      <c r="F241" s="399">
        <f>+OM_EF_2017!G70</f>
        <v>0.55601828764353167</v>
      </c>
      <c r="G241" s="49">
        <v>0</v>
      </c>
      <c r="H241" s="49">
        <v>0</v>
      </c>
      <c r="I241" s="49">
        <v>0</v>
      </c>
      <c r="J241" s="49">
        <v>0</v>
      </c>
      <c r="K241" s="49">
        <v>129537</v>
      </c>
      <c r="L241" s="49">
        <v>256045</v>
      </c>
      <c r="M241" s="49">
        <v>313178.53026025603</v>
      </c>
      <c r="N241" s="49">
        <v>283832.34028472006</v>
      </c>
      <c r="O241" s="49">
        <f t="shared" si="113"/>
        <v>284351.95684832538</v>
      </c>
      <c r="P241" s="49">
        <f t="shared" ref="P241:P243" si="125">O241</f>
        <v>284351.95684832538</v>
      </c>
      <c r="Q241" s="478">
        <f t="shared" si="124"/>
        <v>284351.95684832538</v>
      </c>
      <c r="R241" s="478">
        <f t="shared" si="124"/>
        <v>284351.95684832538</v>
      </c>
      <c r="S241" s="478">
        <f t="shared" si="124"/>
        <v>284351.95684832538</v>
      </c>
      <c r="T241" s="478">
        <f t="shared" si="124"/>
        <v>284351.95684832538</v>
      </c>
      <c r="U241" s="478">
        <f t="shared" si="124"/>
        <v>284351.95684832538</v>
      </c>
      <c r="V241" s="478">
        <f t="shared" si="124"/>
        <v>284351.95684832538</v>
      </c>
      <c r="W241" s="478">
        <f t="shared" si="124"/>
        <v>284351.95684832538</v>
      </c>
      <c r="X241" s="478">
        <f t="shared" si="124"/>
        <v>284351.95684832538</v>
      </c>
      <c r="Y241" s="478">
        <f t="shared" si="124"/>
        <v>284351.95684832538</v>
      </c>
      <c r="Z241" s="478"/>
      <c r="AA241" s="478"/>
      <c r="AB241" s="26"/>
    </row>
    <row r="242" spans="2:28" x14ac:dyDescent="0.3">
      <c r="B242" s="76" t="s">
        <v>329</v>
      </c>
      <c r="C242" s="108">
        <v>2014</v>
      </c>
      <c r="D242" s="426">
        <v>44.16</v>
      </c>
      <c r="E242" s="207"/>
      <c r="F242" s="399">
        <f>+OM_EF_2017!G71</f>
        <v>0.55069130809404065</v>
      </c>
      <c r="G242" s="49">
        <v>0</v>
      </c>
      <c r="H242" s="49">
        <v>0</v>
      </c>
      <c r="I242" s="49">
        <v>0</v>
      </c>
      <c r="J242" s="49">
        <v>0</v>
      </c>
      <c r="K242" s="49">
        <v>108702.3</v>
      </c>
      <c r="L242" s="49">
        <v>285112</v>
      </c>
      <c r="M242" s="49">
        <v>329847.8391620898</v>
      </c>
      <c r="N242" s="49">
        <v>326287.42484508501</v>
      </c>
      <c r="O242" s="49">
        <f t="shared" si="113"/>
        <v>313749.08800239163</v>
      </c>
      <c r="P242" s="49">
        <f t="shared" si="125"/>
        <v>313749.08800239163</v>
      </c>
      <c r="Q242" s="478">
        <f t="shared" si="124"/>
        <v>313749.08800239163</v>
      </c>
      <c r="R242" s="478">
        <f t="shared" si="124"/>
        <v>313749.08800239163</v>
      </c>
      <c r="S242" s="478">
        <f t="shared" si="124"/>
        <v>313749.08800239163</v>
      </c>
      <c r="T242" s="478">
        <f t="shared" si="124"/>
        <v>313749.08800239163</v>
      </c>
      <c r="U242" s="478">
        <f t="shared" si="124"/>
        <v>313749.08800239163</v>
      </c>
      <c r="V242" s="478">
        <f t="shared" si="124"/>
        <v>313749.08800239163</v>
      </c>
      <c r="W242" s="478">
        <f t="shared" si="124"/>
        <v>313749.08800239163</v>
      </c>
      <c r="X242" s="478">
        <f t="shared" si="124"/>
        <v>313749.08800239163</v>
      </c>
      <c r="Y242" s="478">
        <f t="shared" si="124"/>
        <v>313749.08800239163</v>
      </c>
      <c r="Z242" s="478"/>
      <c r="AA242" s="478"/>
      <c r="AB242" s="26"/>
    </row>
    <row r="243" spans="2:28" x14ac:dyDescent="0.3">
      <c r="B243" s="76" t="s">
        <v>330</v>
      </c>
      <c r="C243" s="108">
        <v>2014</v>
      </c>
      <c r="D243" s="426">
        <v>44.06</v>
      </c>
      <c r="E243" s="207"/>
      <c r="F243" s="399">
        <f>+OM_EF_2017!G72</f>
        <v>0.55033617612407471</v>
      </c>
      <c r="G243" s="49">
        <v>0</v>
      </c>
      <c r="H243" s="49">
        <v>0</v>
      </c>
      <c r="I243" s="49">
        <v>0</v>
      </c>
      <c r="J243" s="49">
        <v>0</v>
      </c>
      <c r="K243" s="49">
        <v>73180</v>
      </c>
      <c r="L243" s="49">
        <v>279769</v>
      </c>
      <c r="M243" s="49">
        <v>310140.64298799884</v>
      </c>
      <c r="N243" s="49">
        <v>335050.79283362499</v>
      </c>
      <c r="O243" s="49">
        <f t="shared" si="113"/>
        <v>308320.14527387463</v>
      </c>
      <c r="P243" s="49">
        <f t="shared" si="125"/>
        <v>308320.14527387463</v>
      </c>
      <c r="Q243" s="478">
        <f t="shared" si="124"/>
        <v>308320.14527387463</v>
      </c>
      <c r="R243" s="478">
        <f t="shared" si="124"/>
        <v>308320.14527387463</v>
      </c>
      <c r="S243" s="478">
        <f t="shared" si="124"/>
        <v>308320.14527387463</v>
      </c>
      <c r="T243" s="478">
        <f t="shared" si="124"/>
        <v>308320.14527387463</v>
      </c>
      <c r="U243" s="478">
        <f t="shared" si="124"/>
        <v>308320.14527387463</v>
      </c>
      <c r="V243" s="478">
        <f t="shared" si="124"/>
        <v>308320.14527387463</v>
      </c>
      <c r="W243" s="478">
        <f t="shared" si="124"/>
        <v>308320.14527387463</v>
      </c>
      <c r="X243" s="478">
        <f t="shared" si="124"/>
        <v>308320.14527387463</v>
      </c>
      <c r="Y243" s="478">
        <f t="shared" si="124"/>
        <v>308320.14527387463</v>
      </c>
      <c r="Z243" s="478"/>
      <c r="AA243" s="478"/>
      <c r="AB243" s="26"/>
    </row>
    <row r="244" spans="2:28" x14ac:dyDescent="0.3">
      <c r="B244" s="77" t="s">
        <v>45</v>
      </c>
      <c r="C244" s="421"/>
      <c r="D244" s="425"/>
      <c r="E244" s="75"/>
      <c r="F244" s="398">
        <f>+OM_EF_2017!G73</f>
        <v>0.70147713437403492</v>
      </c>
      <c r="G244" s="44">
        <v>412298.62000000005</v>
      </c>
      <c r="H244" s="44">
        <v>375505.48</v>
      </c>
      <c r="I244" s="44">
        <v>441361.19300000003</v>
      </c>
      <c r="J244" s="44">
        <v>438893.55500000005</v>
      </c>
      <c r="K244" s="44">
        <v>458878.51799999998</v>
      </c>
      <c r="L244" s="44">
        <v>260568.35899999994</v>
      </c>
      <c r="M244" s="44">
        <v>431717.94459999999</v>
      </c>
      <c r="N244" s="44">
        <v>498992.92799999996</v>
      </c>
      <c r="O244" s="44">
        <f>+AVERAGE($L$244:$N$244)</f>
        <v>397093.0772</v>
      </c>
      <c r="P244" s="44">
        <f t="shared" ref="P244" si="126">+AVERAGE($L$244:$N$244)</f>
        <v>397093.0772</v>
      </c>
      <c r="Q244" s="479"/>
      <c r="R244" s="479"/>
      <c r="S244" s="479"/>
      <c r="T244" s="479"/>
      <c r="U244" s="479"/>
      <c r="V244" s="479"/>
      <c r="W244" s="479"/>
      <c r="X244" s="479"/>
      <c r="Y244" s="479"/>
      <c r="Z244" s="479"/>
      <c r="AA244" s="479"/>
      <c r="AB244" s="26"/>
    </row>
    <row r="245" spans="2:28" x14ac:dyDescent="0.3">
      <c r="B245" s="76" t="s">
        <v>101</v>
      </c>
      <c r="C245" s="108">
        <v>1992</v>
      </c>
      <c r="D245" s="426">
        <v>18.52</v>
      </c>
      <c r="E245" s="207"/>
      <c r="F245" s="399">
        <f>+OM_EF_2017!G74</f>
        <v>0.77217528002954161</v>
      </c>
      <c r="G245" s="111"/>
      <c r="H245" s="111"/>
      <c r="I245" s="111"/>
      <c r="J245" s="111"/>
      <c r="K245" s="111"/>
      <c r="L245" s="111"/>
      <c r="M245" s="111"/>
      <c r="N245" s="111"/>
      <c r="O245" s="111"/>
      <c r="P245" s="111"/>
      <c r="Q245" s="111"/>
      <c r="R245" s="111"/>
      <c r="S245" s="111"/>
      <c r="T245" s="111"/>
      <c r="U245" s="111"/>
      <c r="V245" s="111"/>
      <c r="W245" s="111"/>
      <c r="X245" s="111"/>
      <c r="Y245" s="111"/>
      <c r="Z245" s="111"/>
      <c r="AA245" s="111"/>
      <c r="AB245" s="26"/>
    </row>
    <row r="246" spans="2:28" x14ac:dyDescent="0.3">
      <c r="B246" s="76" t="s">
        <v>102</v>
      </c>
      <c r="C246" s="108">
        <v>1991</v>
      </c>
      <c r="D246" s="426">
        <v>18.809999999999999</v>
      </c>
      <c r="E246" s="207"/>
      <c r="F246" s="399">
        <f>+OM_EF_2017!G75</f>
        <v>0.69576271782517718</v>
      </c>
      <c r="G246" s="269"/>
      <c r="H246" s="269"/>
      <c r="I246" s="269"/>
      <c r="J246" s="269"/>
      <c r="K246" s="269"/>
      <c r="L246" s="269"/>
      <c r="M246" s="269"/>
      <c r="N246" s="269"/>
      <c r="O246" s="269"/>
      <c r="P246" s="269"/>
      <c r="Q246" s="269"/>
      <c r="R246" s="269"/>
      <c r="S246" s="269"/>
      <c r="T246" s="269"/>
      <c r="U246" s="269"/>
      <c r="V246" s="269"/>
      <c r="W246" s="269"/>
      <c r="X246" s="269"/>
      <c r="Y246" s="269"/>
      <c r="Z246" s="269"/>
      <c r="AA246" s="269"/>
      <c r="AB246" s="26"/>
    </row>
    <row r="247" spans="2:28" x14ac:dyDescent="0.3">
      <c r="B247" s="76" t="s">
        <v>103</v>
      </c>
      <c r="C247" s="108">
        <v>1991</v>
      </c>
      <c r="D247" s="426">
        <v>18.32</v>
      </c>
      <c r="E247" s="207"/>
      <c r="F247" s="399">
        <f>+OM_EF_2017!G76</f>
        <v>0.73269644270164769</v>
      </c>
      <c r="G247" s="269"/>
      <c r="H247" s="269"/>
      <c r="I247" s="269"/>
      <c r="J247" s="269"/>
      <c r="K247" s="269"/>
      <c r="L247" s="269"/>
      <c r="M247" s="269"/>
      <c r="N247" s="269"/>
      <c r="O247" s="269"/>
      <c r="P247" s="269"/>
      <c r="Q247" s="269"/>
      <c r="R247" s="269"/>
      <c r="S247" s="269"/>
      <c r="T247" s="269"/>
      <c r="U247" s="269"/>
      <c r="V247" s="269"/>
      <c r="W247" s="269"/>
      <c r="X247" s="269"/>
      <c r="Y247" s="269"/>
      <c r="Z247" s="269"/>
      <c r="AA247" s="269"/>
      <c r="AB247" s="26"/>
    </row>
    <row r="248" spans="2:28" x14ac:dyDescent="0.3">
      <c r="B248" s="76" t="s">
        <v>104</v>
      </c>
      <c r="C248" s="108">
        <v>1992</v>
      </c>
      <c r="D248" s="426">
        <v>18.63</v>
      </c>
      <c r="E248" s="207"/>
      <c r="F248" s="399">
        <f>+OM_EF_2017!G77</f>
        <v>0.77010367687140613</v>
      </c>
      <c r="G248" s="269"/>
      <c r="H248" s="269"/>
      <c r="I248" s="269"/>
      <c r="J248" s="269"/>
      <c r="K248" s="269"/>
      <c r="L248" s="269"/>
      <c r="M248" s="269"/>
      <c r="N248" s="269"/>
      <c r="O248" s="269"/>
      <c r="P248" s="269"/>
      <c r="Q248" s="269"/>
      <c r="R248" s="269"/>
      <c r="S248" s="269"/>
      <c r="T248" s="269"/>
      <c r="U248" s="269"/>
      <c r="V248" s="269"/>
      <c r="W248" s="269"/>
      <c r="X248" s="269"/>
      <c r="Y248" s="269"/>
      <c r="Z248" s="269"/>
      <c r="AA248" s="269"/>
      <c r="AB248" s="26"/>
    </row>
    <row r="249" spans="2:28" x14ac:dyDescent="0.3">
      <c r="B249" s="76" t="s">
        <v>319</v>
      </c>
      <c r="C249" s="108">
        <v>2012</v>
      </c>
      <c r="D249" s="426">
        <v>10.58</v>
      </c>
      <c r="E249" s="207"/>
      <c r="F249" s="399">
        <f>+OM_EF_2017!G78</f>
        <v>0.62592009706518492</v>
      </c>
      <c r="G249" s="269"/>
      <c r="H249" s="269"/>
      <c r="I249" s="269"/>
      <c r="J249" s="269"/>
      <c r="K249" s="269"/>
      <c r="L249" s="269"/>
      <c r="M249" s="269"/>
      <c r="N249" s="269"/>
      <c r="O249" s="269"/>
      <c r="P249" s="269"/>
      <c r="Q249" s="269"/>
      <c r="R249" s="269"/>
      <c r="S249" s="269"/>
      <c r="T249" s="269"/>
      <c r="U249" s="269"/>
      <c r="V249" s="269"/>
      <c r="W249" s="269"/>
      <c r="X249" s="269"/>
      <c r="Y249" s="269"/>
      <c r="Z249" s="269"/>
      <c r="AA249" s="269"/>
      <c r="AB249" s="26"/>
    </row>
    <row r="250" spans="2:28" x14ac:dyDescent="0.3">
      <c r="B250" s="76" t="s">
        <v>320</v>
      </c>
      <c r="C250" s="108">
        <v>2012</v>
      </c>
      <c r="D250" s="426">
        <v>10.58</v>
      </c>
      <c r="E250" s="207"/>
      <c r="F250" s="399">
        <f>+OM_EF_2017!G79</f>
        <v>0.6288795301482355</v>
      </c>
      <c r="G250" s="269"/>
      <c r="H250" s="269"/>
      <c r="I250" s="269"/>
      <c r="J250" s="269"/>
      <c r="K250" s="269"/>
      <c r="L250" s="269"/>
      <c r="M250" s="269"/>
      <c r="N250" s="269"/>
      <c r="O250" s="269"/>
      <c r="P250" s="269"/>
      <c r="Q250" s="269"/>
      <c r="R250" s="269"/>
      <c r="S250" s="269"/>
      <c r="T250" s="269"/>
      <c r="U250" s="269"/>
      <c r="V250" s="269"/>
      <c r="W250" s="269"/>
      <c r="X250" s="269"/>
      <c r="Y250" s="269"/>
      <c r="Z250" s="269"/>
      <c r="AA250" s="269"/>
      <c r="AB250" s="26"/>
    </row>
    <row r="251" spans="2:28" x14ac:dyDescent="0.3">
      <c r="B251" s="76" t="s">
        <v>321</v>
      </c>
      <c r="C251" s="108">
        <v>2012</v>
      </c>
      <c r="D251" s="426">
        <v>10.58</v>
      </c>
      <c r="E251" s="207"/>
      <c r="F251" s="399">
        <f>+OM_EF_2017!G80</f>
        <v>0.63106951062969285</v>
      </c>
      <c r="G251" s="269"/>
      <c r="H251" s="269"/>
      <c r="I251" s="269"/>
      <c r="J251" s="269"/>
      <c r="K251" s="269"/>
      <c r="L251" s="269"/>
      <c r="M251" s="269"/>
      <c r="N251" s="269"/>
      <c r="O251" s="269"/>
      <c r="P251" s="269"/>
      <c r="Q251" s="269"/>
      <c r="R251" s="269"/>
      <c r="S251" s="269"/>
      <c r="T251" s="269"/>
      <c r="U251" s="269"/>
      <c r="V251" s="269"/>
      <c r="W251" s="269"/>
      <c r="X251" s="269"/>
      <c r="Y251" s="269"/>
      <c r="Z251" s="269"/>
      <c r="AA251" s="269"/>
      <c r="AB251" s="26"/>
    </row>
    <row r="252" spans="2:28" x14ac:dyDescent="0.3">
      <c r="B252" s="76" t="s">
        <v>322</v>
      </c>
      <c r="C252" s="108">
        <v>2012</v>
      </c>
      <c r="D252" s="426">
        <v>10.58</v>
      </c>
      <c r="E252" s="207"/>
      <c r="F252" s="399">
        <f>+OM_EF_2017!G81</f>
        <v>0.6315430199229809</v>
      </c>
      <c r="G252" s="53"/>
      <c r="H252" s="53"/>
      <c r="I252" s="53"/>
      <c r="J252" s="53"/>
      <c r="K252" s="53"/>
      <c r="L252" s="53"/>
      <c r="M252" s="53"/>
      <c r="N252" s="53"/>
      <c r="O252" s="53"/>
      <c r="P252" s="53"/>
      <c r="Q252" s="53"/>
      <c r="R252" s="53"/>
      <c r="S252" s="53"/>
      <c r="T252" s="53"/>
      <c r="U252" s="53"/>
      <c r="V252" s="53"/>
      <c r="W252" s="53"/>
      <c r="X252" s="53"/>
      <c r="Y252" s="53"/>
      <c r="Z252" s="53"/>
      <c r="AA252" s="53"/>
      <c r="AB252" s="26"/>
    </row>
    <row r="253" spans="2:28" x14ac:dyDescent="0.3">
      <c r="B253" s="77" t="s">
        <v>25</v>
      </c>
      <c r="C253" s="421"/>
      <c r="D253" s="425"/>
      <c r="E253" s="75"/>
      <c r="F253" s="398"/>
      <c r="G253" s="379"/>
      <c r="H253" s="379"/>
      <c r="I253" s="379"/>
      <c r="J253" s="379"/>
      <c r="K253" s="379"/>
      <c r="L253" s="61"/>
      <c r="M253" s="61"/>
      <c r="N253" s="61"/>
      <c r="O253" s="61"/>
      <c r="P253" s="61"/>
      <c r="Q253" s="61"/>
      <c r="R253" s="61"/>
      <c r="S253" s="61"/>
      <c r="T253" s="61"/>
      <c r="U253" s="61"/>
      <c r="V253" s="61"/>
      <c r="W253" s="61"/>
      <c r="X253" s="61"/>
      <c r="Y253" s="61"/>
      <c r="Z253" s="61"/>
      <c r="AA253" s="61"/>
      <c r="AB253" s="26"/>
    </row>
    <row r="254" spans="2:28" x14ac:dyDescent="0.3">
      <c r="B254" s="76" t="s">
        <v>333</v>
      </c>
      <c r="C254" s="108">
        <v>2015</v>
      </c>
      <c r="D254" s="426">
        <v>44.58</v>
      </c>
      <c r="E254" s="207"/>
      <c r="F254" s="399">
        <f>+OM_EF_2017!G83</f>
        <v>0.53500631275387289</v>
      </c>
      <c r="G254" s="49">
        <v>0</v>
      </c>
      <c r="H254" s="49">
        <v>0</v>
      </c>
      <c r="I254" s="49">
        <v>0</v>
      </c>
      <c r="J254" s="49">
        <v>0</v>
      </c>
      <c r="K254" s="49">
        <v>0</v>
      </c>
      <c r="L254" s="378">
        <v>198822</v>
      </c>
      <c r="M254" s="49">
        <v>327476</v>
      </c>
      <c r="N254" s="49">
        <v>341340.33600000001</v>
      </c>
      <c r="O254" s="49">
        <f t="shared" ref="O254:P257" si="127">+AVERAGE(L254:N254)</f>
        <v>289212.77866666665</v>
      </c>
      <c r="P254" s="49">
        <f t="shared" si="127"/>
        <v>319343.03822222218</v>
      </c>
      <c r="Q254" s="478">
        <f t="shared" ref="Q254:Q257" si="128">+AVERAGE(N254:P254)</f>
        <v>316632.05096296291</v>
      </c>
      <c r="R254" s="478">
        <f t="shared" ref="R254:R257" si="129">+AVERAGE(O254:Q254)</f>
        <v>308395.95595061727</v>
      </c>
      <c r="S254" s="478">
        <f t="shared" ref="S254:S257" si="130">+AVERAGE(P254:R254)</f>
        <v>314790.34837860079</v>
      </c>
      <c r="T254" s="478">
        <f t="shared" ref="T254:T257" si="131">+AVERAGE(Q254:S254)</f>
        <v>313272.78509739367</v>
      </c>
      <c r="U254" s="478">
        <f t="shared" ref="U254:U257" si="132">+AVERAGE(R254:T254)</f>
        <v>312153.02980887057</v>
      </c>
      <c r="V254" s="478">
        <f t="shared" ref="V254:V257" si="133">+AVERAGE(S254:U254)</f>
        <v>313405.38776162168</v>
      </c>
      <c r="W254" s="478">
        <f t="shared" ref="W254:W257" si="134">+AVERAGE(T254:V254)</f>
        <v>312943.73422262864</v>
      </c>
      <c r="X254" s="478">
        <f t="shared" ref="X254:X257" si="135">+AVERAGE(U254:W254)</f>
        <v>312834.05059770698</v>
      </c>
      <c r="Y254" s="478">
        <f t="shared" ref="Y254:Y257" si="136">+AVERAGE(V254:X254)</f>
        <v>313061.05752731912</v>
      </c>
      <c r="Z254" s="478"/>
      <c r="AA254" s="478"/>
      <c r="AB254" s="26"/>
    </row>
    <row r="255" spans="2:28" x14ac:dyDescent="0.3">
      <c r="B255" s="76" t="s">
        <v>334</v>
      </c>
      <c r="C255" s="108">
        <v>2015</v>
      </c>
      <c r="D255" s="426">
        <v>44</v>
      </c>
      <c r="E255" s="207"/>
      <c r="F255" s="399">
        <f>+OM_EF_2017!G84</f>
        <v>0.54003734899505884</v>
      </c>
      <c r="G255" s="49">
        <v>0</v>
      </c>
      <c r="H255" s="49">
        <v>0</v>
      </c>
      <c r="I255" s="49">
        <v>0</v>
      </c>
      <c r="J255" s="49">
        <v>0</v>
      </c>
      <c r="K255" s="49">
        <v>0</v>
      </c>
      <c r="L255" s="378">
        <v>104963</v>
      </c>
      <c r="M255" s="49">
        <v>303848</v>
      </c>
      <c r="N255" s="49">
        <v>232234.96000000008</v>
      </c>
      <c r="O255" s="49">
        <f>+AVERAGE(L255:N255)</f>
        <v>213681.98666666669</v>
      </c>
      <c r="P255" s="49">
        <f t="shared" si="127"/>
        <v>249921.64888888891</v>
      </c>
      <c r="Q255" s="478">
        <f t="shared" si="128"/>
        <v>231946.19851851856</v>
      </c>
      <c r="R255" s="478">
        <f t="shared" si="129"/>
        <v>231849.94469135805</v>
      </c>
      <c r="S255" s="478">
        <f t="shared" si="130"/>
        <v>237905.9306995885</v>
      </c>
      <c r="T255" s="478">
        <f t="shared" si="131"/>
        <v>233900.69130315504</v>
      </c>
      <c r="U255" s="478">
        <f t="shared" si="132"/>
        <v>234552.18889803384</v>
      </c>
      <c r="V255" s="478">
        <f t="shared" si="133"/>
        <v>235452.93696692577</v>
      </c>
      <c r="W255" s="478">
        <f t="shared" si="134"/>
        <v>234635.27238937153</v>
      </c>
      <c r="X255" s="478">
        <f t="shared" si="135"/>
        <v>234880.13275144374</v>
      </c>
      <c r="Y255" s="478">
        <f t="shared" si="136"/>
        <v>234989.44736924701</v>
      </c>
      <c r="Z255" s="478"/>
      <c r="AA255" s="478"/>
      <c r="AB255" s="26"/>
    </row>
    <row r="256" spans="2:28" x14ac:dyDescent="0.3">
      <c r="B256" s="76" t="s">
        <v>335</v>
      </c>
      <c r="C256" s="108">
        <v>2015</v>
      </c>
      <c r="D256" s="426">
        <v>44.33</v>
      </c>
      <c r="E256" s="207"/>
      <c r="F256" s="399">
        <f>+OM_EF_2017!G85</f>
        <v>0.53991897167173675</v>
      </c>
      <c r="G256" s="49">
        <v>0</v>
      </c>
      <c r="H256" s="49">
        <v>0</v>
      </c>
      <c r="I256" s="49">
        <v>0</v>
      </c>
      <c r="J256" s="49">
        <v>0</v>
      </c>
      <c r="K256" s="49">
        <v>0</v>
      </c>
      <c r="L256" s="378">
        <v>135385</v>
      </c>
      <c r="M256" s="49">
        <v>334360</v>
      </c>
      <c r="N256" s="49">
        <v>332215.63199999998</v>
      </c>
      <c r="O256" s="49">
        <f t="shared" si="127"/>
        <v>267320.21066666668</v>
      </c>
      <c r="P256" s="49">
        <f>+AVERAGE(M256:O256)</f>
        <v>311298.61422222224</v>
      </c>
      <c r="Q256" s="478">
        <f t="shared" si="128"/>
        <v>303611.48562962963</v>
      </c>
      <c r="R256" s="478">
        <f t="shared" si="129"/>
        <v>294076.77017283952</v>
      </c>
      <c r="S256" s="478">
        <f t="shared" si="130"/>
        <v>302995.6233415638</v>
      </c>
      <c r="T256" s="478">
        <f t="shared" si="131"/>
        <v>300227.95971467765</v>
      </c>
      <c r="U256" s="478">
        <f t="shared" si="132"/>
        <v>299100.11774302699</v>
      </c>
      <c r="V256" s="478">
        <f t="shared" si="133"/>
        <v>300774.56693308946</v>
      </c>
      <c r="W256" s="478">
        <f t="shared" si="134"/>
        <v>300034.21479693131</v>
      </c>
      <c r="X256" s="478">
        <f t="shared" si="135"/>
        <v>299969.63315768261</v>
      </c>
      <c r="Y256" s="478">
        <f t="shared" si="136"/>
        <v>300259.47162923444</v>
      </c>
      <c r="Z256" s="478"/>
      <c r="AA256" s="478"/>
      <c r="AB256" s="26"/>
    </row>
    <row r="257" spans="2:28" x14ac:dyDescent="0.3">
      <c r="B257" s="76" t="s">
        <v>336</v>
      </c>
      <c r="C257" s="108">
        <v>2015</v>
      </c>
      <c r="D257" s="426">
        <v>44.55</v>
      </c>
      <c r="E257" s="207"/>
      <c r="F257" s="399">
        <f>+OM_EF_2017!G86</f>
        <v>0.54062923561166887</v>
      </c>
      <c r="G257" s="49">
        <v>0</v>
      </c>
      <c r="H257" s="49">
        <v>0</v>
      </c>
      <c r="I257" s="49">
        <v>0</v>
      </c>
      <c r="J257" s="49">
        <v>0</v>
      </c>
      <c r="K257" s="49">
        <v>0</v>
      </c>
      <c r="L257" s="378">
        <v>75984</v>
      </c>
      <c r="M257" s="49">
        <v>328445</v>
      </c>
      <c r="N257" s="49">
        <v>319457.85599999991</v>
      </c>
      <c r="O257" s="49">
        <f t="shared" si="127"/>
        <v>241295.61866666665</v>
      </c>
      <c r="P257" s="49">
        <f>+AVERAGE(M257:O257)</f>
        <v>296399.49155555555</v>
      </c>
      <c r="Q257" s="478">
        <f t="shared" si="128"/>
        <v>285717.65540740738</v>
      </c>
      <c r="R257" s="478">
        <f t="shared" si="129"/>
        <v>274470.9218765432</v>
      </c>
      <c r="S257" s="478">
        <f t="shared" si="130"/>
        <v>285529.3562798354</v>
      </c>
      <c r="T257" s="478">
        <f t="shared" si="131"/>
        <v>281905.97785459529</v>
      </c>
      <c r="U257" s="478">
        <f t="shared" si="132"/>
        <v>280635.41867032461</v>
      </c>
      <c r="V257" s="478">
        <f t="shared" si="133"/>
        <v>282690.25093491841</v>
      </c>
      <c r="W257" s="478">
        <f t="shared" si="134"/>
        <v>281743.88248661277</v>
      </c>
      <c r="X257" s="478">
        <f t="shared" si="135"/>
        <v>281689.85069728526</v>
      </c>
      <c r="Y257" s="478">
        <f t="shared" si="136"/>
        <v>282041.32803960546</v>
      </c>
      <c r="Z257" s="478"/>
      <c r="AA257" s="478"/>
      <c r="AB257" s="26"/>
    </row>
    <row r="258" spans="2:28" x14ac:dyDescent="0.3">
      <c r="B258" s="76" t="s">
        <v>337</v>
      </c>
      <c r="C258" s="108">
        <v>2015</v>
      </c>
      <c r="D258" s="426">
        <v>44</v>
      </c>
      <c r="E258" s="207"/>
      <c r="F258" s="399">
        <f>+OM_EF_2017!G87</f>
        <v>0.54128031088994011</v>
      </c>
      <c r="G258" s="49">
        <v>0</v>
      </c>
      <c r="H258" s="49">
        <v>0</v>
      </c>
      <c r="I258" s="49">
        <v>0</v>
      </c>
      <c r="J258" s="49">
        <v>0</v>
      </c>
      <c r="K258" s="49">
        <v>0</v>
      </c>
      <c r="L258" s="378">
        <v>91678</v>
      </c>
      <c r="M258" s="49">
        <v>330964</v>
      </c>
      <c r="N258" s="49">
        <v>332882.23199999996</v>
      </c>
      <c r="O258" s="49">
        <f>+AVERAGE($L$258:$N$258)</f>
        <v>251841.41066666666</v>
      </c>
      <c r="P258" s="49">
        <f t="shared" ref="P258:Y258" si="137">+AVERAGE($L$258:$N$258)</f>
        <v>251841.41066666666</v>
      </c>
      <c r="Q258" s="478">
        <f t="shared" si="137"/>
        <v>251841.41066666666</v>
      </c>
      <c r="R258" s="478">
        <f t="shared" si="137"/>
        <v>251841.41066666666</v>
      </c>
      <c r="S258" s="478">
        <f t="shared" si="137"/>
        <v>251841.41066666666</v>
      </c>
      <c r="T258" s="478">
        <f t="shared" si="137"/>
        <v>251841.41066666666</v>
      </c>
      <c r="U258" s="478">
        <f t="shared" si="137"/>
        <v>251841.41066666666</v>
      </c>
      <c r="V258" s="478">
        <f t="shared" si="137"/>
        <v>251841.41066666666</v>
      </c>
      <c r="W258" s="478">
        <f t="shared" si="137"/>
        <v>251841.41066666666</v>
      </c>
      <c r="X258" s="478">
        <f t="shared" si="137"/>
        <v>251841.41066666666</v>
      </c>
      <c r="Y258" s="478">
        <f t="shared" si="137"/>
        <v>251841.41066666666</v>
      </c>
      <c r="Z258" s="478"/>
      <c r="AA258" s="478"/>
      <c r="AB258" s="26"/>
    </row>
    <row r="259" spans="2:28" x14ac:dyDescent="0.3">
      <c r="B259" s="429"/>
      <c r="C259" s="429"/>
      <c r="D259" s="431"/>
      <c r="E259" s="400"/>
      <c r="F259" s="400"/>
      <c r="G259" s="4"/>
      <c r="H259" s="30"/>
      <c r="I259" s="4"/>
      <c r="J259" s="4"/>
      <c r="K259" s="30"/>
      <c r="L259" s="30"/>
      <c r="M259" s="30"/>
      <c r="N259" s="30"/>
      <c r="O259" s="30"/>
      <c r="P259" s="30"/>
      <c r="Q259" s="30"/>
      <c r="R259" s="30"/>
      <c r="S259" s="30"/>
      <c r="T259" s="30"/>
      <c r="U259" s="30"/>
      <c r="V259" s="30"/>
      <c r="W259" s="30"/>
      <c r="X259" s="30"/>
      <c r="Y259" s="30"/>
      <c r="Z259" s="30"/>
      <c r="AA259" s="30"/>
    </row>
    <row r="260" spans="2:28" x14ac:dyDescent="0.3">
      <c r="B260" s="439"/>
      <c r="C260" s="440"/>
      <c r="D260" s="440"/>
      <c r="E260" s="440"/>
      <c r="F260" s="438"/>
      <c r="G260" s="381">
        <v>2010</v>
      </c>
      <c r="H260" s="381">
        <v>2011</v>
      </c>
      <c r="I260" s="381">
        <v>2012</v>
      </c>
      <c r="J260" s="381">
        <v>2013</v>
      </c>
      <c r="K260" s="381">
        <v>2014</v>
      </c>
      <c r="L260" s="381">
        <v>2015</v>
      </c>
      <c r="M260" s="381">
        <v>2016</v>
      </c>
      <c r="N260" s="381">
        <v>2017</v>
      </c>
      <c r="O260" s="381">
        <v>2018</v>
      </c>
      <c r="P260" s="381">
        <v>2019</v>
      </c>
      <c r="Q260" s="381">
        <v>2020</v>
      </c>
      <c r="R260" s="381">
        <v>2021</v>
      </c>
      <c r="S260" s="381">
        <v>2022</v>
      </c>
      <c r="T260" s="381">
        <v>2023</v>
      </c>
      <c r="U260" s="381">
        <v>2024</v>
      </c>
      <c r="V260" s="381">
        <v>2025</v>
      </c>
      <c r="W260" s="381">
        <v>2026</v>
      </c>
      <c r="X260" s="381">
        <v>2027</v>
      </c>
      <c r="Y260" s="381">
        <v>2028</v>
      </c>
      <c r="Z260" s="381">
        <v>2029</v>
      </c>
      <c r="AA260" s="381">
        <v>2030</v>
      </c>
    </row>
    <row r="261" spans="2:28" ht="28.8" x14ac:dyDescent="0.3">
      <c r="B261" s="84" t="s">
        <v>164</v>
      </c>
      <c r="C261" s="80" t="s">
        <v>279</v>
      </c>
      <c r="D261" s="389" t="s">
        <v>397</v>
      </c>
      <c r="E261" s="388"/>
      <c r="F261" s="388"/>
      <c r="G261" s="79" t="s">
        <v>197</v>
      </c>
      <c r="H261" s="79" t="s">
        <v>197</v>
      </c>
      <c r="I261" s="79" t="s">
        <v>197</v>
      </c>
      <c r="J261" s="79" t="s">
        <v>197</v>
      </c>
      <c r="K261" s="79" t="s">
        <v>197</v>
      </c>
      <c r="L261" s="79" t="s">
        <v>197</v>
      </c>
      <c r="M261" s="79" t="s">
        <v>197</v>
      </c>
      <c r="N261" s="79" t="s">
        <v>197</v>
      </c>
      <c r="O261" s="79" t="s">
        <v>197</v>
      </c>
      <c r="P261" s="79" t="s">
        <v>197</v>
      </c>
      <c r="Q261" s="79" t="s">
        <v>197</v>
      </c>
      <c r="R261" s="79" t="s">
        <v>197</v>
      </c>
      <c r="S261" s="79" t="s">
        <v>197</v>
      </c>
      <c r="T261" s="79" t="s">
        <v>197</v>
      </c>
      <c r="U261" s="79" t="s">
        <v>197</v>
      </c>
      <c r="V261" s="79" t="s">
        <v>197</v>
      </c>
      <c r="W261" s="79" t="s">
        <v>197</v>
      </c>
      <c r="X261" s="79" t="s">
        <v>197</v>
      </c>
      <c r="Y261" s="79" t="s">
        <v>197</v>
      </c>
      <c r="Z261" s="79" t="s">
        <v>197</v>
      </c>
      <c r="AA261" s="79" t="s">
        <v>197</v>
      </c>
    </row>
    <row r="262" spans="2:28" x14ac:dyDescent="0.3">
      <c r="B262" s="82" t="s">
        <v>0</v>
      </c>
      <c r="C262" s="82"/>
      <c r="D262" s="82"/>
      <c r="E262" s="82"/>
      <c r="F262" s="82"/>
      <c r="G262" s="83">
        <f>SUM(G263:G331)</f>
        <v>2151428.9800358461</v>
      </c>
      <c r="H262" s="83">
        <f t="shared" ref="H262:AA262" si="138">SUM(H263:H331)</f>
        <v>2324105.4636729998</v>
      </c>
      <c r="I262" s="83">
        <f t="shared" si="138"/>
        <v>2322084.4652733332</v>
      </c>
      <c r="J262" s="83">
        <f t="shared" si="138"/>
        <v>2514863.618699627</v>
      </c>
      <c r="K262" s="83">
        <f t="shared" si="138"/>
        <v>2232992.8565350003</v>
      </c>
      <c r="L262" s="83">
        <f t="shared" si="138"/>
        <v>2439591.1513262745</v>
      </c>
      <c r="M262" s="83">
        <f t="shared" si="138"/>
        <v>1715604.4612500004</v>
      </c>
      <c r="N262" s="83">
        <f t="shared" si="138"/>
        <v>2229863.9013999989</v>
      </c>
      <c r="O262" s="83">
        <f t="shared" si="138"/>
        <v>2651238.9793254239</v>
      </c>
      <c r="P262" s="83">
        <f t="shared" si="138"/>
        <v>2640951.1156587573</v>
      </c>
      <c r="Q262" s="83">
        <f t="shared" si="138"/>
        <v>2640951.1156587573</v>
      </c>
      <c r="R262" s="83">
        <f t="shared" si="138"/>
        <v>2640951.1156587573</v>
      </c>
      <c r="S262" s="83">
        <f t="shared" si="138"/>
        <v>2640951.1156587573</v>
      </c>
      <c r="T262" s="83">
        <f t="shared" si="138"/>
        <v>2640951.1156587573</v>
      </c>
      <c r="U262" s="83">
        <f t="shared" si="138"/>
        <v>2640951.1156587573</v>
      </c>
      <c r="V262" s="83">
        <f t="shared" si="138"/>
        <v>2640951.1156587573</v>
      </c>
      <c r="W262" s="83">
        <f t="shared" si="138"/>
        <v>2640951.1156587573</v>
      </c>
      <c r="X262" s="83">
        <f t="shared" si="138"/>
        <v>2640951.1156587573</v>
      </c>
      <c r="Y262" s="83">
        <f t="shared" si="138"/>
        <v>2640951.1156587573</v>
      </c>
      <c r="Z262" s="83">
        <f t="shared" si="138"/>
        <v>2640951.1156587573</v>
      </c>
      <c r="AA262" s="83">
        <f t="shared" si="138"/>
        <v>2640951.1156587573</v>
      </c>
    </row>
    <row r="263" spans="2:28" x14ac:dyDescent="0.3">
      <c r="B263" s="57" t="s">
        <v>26</v>
      </c>
      <c r="C263" s="57"/>
      <c r="D263" s="57"/>
      <c r="E263" s="57"/>
      <c r="F263" s="57"/>
      <c r="G263" s="78"/>
      <c r="H263" s="78"/>
      <c r="I263" s="78"/>
      <c r="J263" s="78"/>
      <c r="K263" s="78"/>
      <c r="L263" s="78"/>
      <c r="M263" s="78"/>
      <c r="N263" s="78"/>
      <c r="O263" s="78"/>
      <c r="P263" s="78"/>
      <c r="Q263" s="78"/>
      <c r="R263" s="78"/>
      <c r="S263" s="78"/>
      <c r="T263" s="78"/>
      <c r="U263" s="78"/>
      <c r="V263" s="78"/>
      <c r="W263" s="78"/>
      <c r="X263" s="78"/>
      <c r="Y263" s="78"/>
      <c r="Z263" s="78"/>
      <c r="AA263" s="78"/>
    </row>
    <row r="264" spans="2:28" x14ac:dyDescent="0.3">
      <c r="B264" s="47" t="s">
        <v>142</v>
      </c>
      <c r="C264" s="110">
        <v>1936</v>
      </c>
      <c r="D264" s="426">
        <v>2.2200000000000002</v>
      </c>
      <c r="E264" s="434"/>
      <c r="F264" s="47"/>
      <c r="G264" s="49">
        <v>9271.0999999999949</v>
      </c>
      <c r="H264" s="49">
        <v>8656.5849999999991</v>
      </c>
      <c r="I264" s="49">
        <v>10232.768999999998</v>
      </c>
      <c r="J264" s="49">
        <v>8655.150999999998</v>
      </c>
      <c r="K264" s="49">
        <v>8364.82</v>
      </c>
      <c r="L264" s="49">
        <v>8059.2840000000015</v>
      </c>
      <c r="M264" s="49">
        <v>8299.025999999998</v>
      </c>
      <c r="N264" s="49">
        <v>7068.2120000000004</v>
      </c>
      <c r="O264" s="49">
        <f t="shared" ref="O264:O281" si="139">+AVERAGE(L264:N264)</f>
        <v>7808.8406666666669</v>
      </c>
      <c r="P264" s="49">
        <f>+O264</f>
        <v>7808.8406666666669</v>
      </c>
      <c r="Q264" s="49">
        <f t="shared" ref="Q264:AA264" si="140">+P264</f>
        <v>7808.8406666666669</v>
      </c>
      <c r="R264" s="49">
        <f t="shared" si="140"/>
        <v>7808.8406666666669</v>
      </c>
      <c r="S264" s="49">
        <f t="shared" si="140"/>
        <v>7808.8406666666669</v>
      </c>
      <c r="T264" s="49">
        <f t="shared" si="140"/>
        <v>7808.8406666666669</v>
      </c>
      <c r="U264" s="49">
        <f t="shared" si="140"/>
        <v>7808.8406666666669</v>
      </c>
      <c r="V264" s="49">
        <f t="shared" si="140"/>
        <v>7808.8406666666669</v>
      </c>
      <c r="W264" s="49">
        <f t="shared" si="140"/>
        <v>7808.8406666666669</v>
      </c>
      <c r="X264" s="49">
        <f t="shared" si="140"/>
        <v>7808.8406666666669</v>
      </c>
      <c r="Y264" s="49">
        <f t="shared" si="140"/>
        <v>7808.8406666666669</v>
      </c>
      <c r="Z264" s="49">
        <f t="shared" si="140"/>
        <v>7808.8406666666669</v>
      </c>
      <c r="AA264" s="49">
        <f t="shared" si="140"/>
        <v>7808.8406666666669</v>
      </c>
    </row>
    <row r="265" spans="2:28" x14ac:dyDescent="0.3">
      <c r="B265" s="47" t="s">
        <v>143</v>
      </c>
      <c r="C265" s="110">
        <v>1958</v>
      </c>
      <c r="D265" s="426">
        <v>1.27</v>
      </c>
      <c r="E265" s="434"/>
      <c r="F265" s="47"/>
      <c r="G265" s="49">
        <v>4843.4999999999982</v>
      </c>
      <c r="H265" s="49">
        <v>5139.1980000000003</v>
      </c>
      <c r="I265" s="49">
        <v>4981.5259999999998</v>
      </c>
      <c r="J265" s="49">
        <v>3998.6959999999999</v>
      </c>
      <c r="K265" s="49">
        <v>4087.8379999999997</v>
      </c>
      <c r="L265" s="49">
        <v>3992.585</v>
      </c>
      <c r="M265" s="49">
        <v>2863.16</v>
      </c>
      <c r="N265" s="49">
        <v>3531.5559999999991</v>
      </c>
      <c r="O265" s="49">
        <f t="shared" si="139"/>
        <v>3462.4336666666663</v>
      </c>
      <c r="P265" s="49">
        <f t="shared" ref="P265:AA266" si="141">+O265</f>
        <v>3462.4336666666663</v>
      </c>
      <c r="Q265" s="49">
        <f t="shared" si="141"/>
        <v>3462.4336666666663</v>
      </c>
      <c r="R265" s="49">
        <f t="shared" si="141"/>
        <v>3462.4336666666663</v>
      </c>
      <c r="S265" s="49">
        <f t="shared" si="141"/>
        <v>3462.4336666666663</v>
      </c>
      <c r="T265" s="49">
        <f t="shared" si="141"/>
        <v>3462.4336666666663</v>
      </c>
      <c r="U265" s="49">
        <f t="shared" si="141"/>
        <v>3462.4336666666663</v>
      </c>
      <c r="V265" s="49">
        <f t="shared" si="141"/>
        <v>3462.4336666666663</v>
      </c>
      <c r="W265" s="49">
        <f t="shared" si="141"/>
        <v>3462.4336666666663</v>
      </c>
      <c r="X265" s="49">
        <f t="shared" si="141"/>
        <v>3462.4336666666663</v>
      </c>
      <c r="Y265" s="49">
        <f t="shared" si="141"/>
        <v>3462.4336666666663</v>
      </c>
      <c r="Z265" s="49">
        <f t="shared" si="141"/>
        <v>3462.4336666666663</v>
      </c>
      <c r="AA265" s="49">
        <f t="shared" si="141"/>
        <v>3462.4336666666663</v>
      </c>
    </row>
    <row r="266" spans="2:28" x14ac:dyDescent="0.3">
      <c r="B266" s="47" t="s">
        <v>144</v>
      </c>
      <c r="C266" s="110">
        <v>2008</v>
      </c>
      <c r="D266" s="426">
        <v>2.74</v>
      </c>
      <c r="E266" s="434"/>
      <c r="F266" s="47"/>
      <c r="G266" s="49">
        <v>5760.9160000000011</v>
      </c>
      <c r="H266" s="49">
        <v>6575.5169999999998</v>
      </c>
      <c r="I266" s="49">
        <v>7386.07</v>
      </c>
      <c r="J266" s="49">
        <v>6891.6029999999992</v>
      </c>
      <c r="K266" s="49">
        <v>6808.925000000002</v>
      </c>
      <c r="L266" s="49">
        <v>6644.1160000000018</v>
      </c>
      <c r="M266" s="49">
        <v>5656.7429999999995</v>
      </c>
      <c r="N266" s="49">
        <v>6833.0870000000014</v>
      </c>
      <c r="O266" s="49">
        <f t="shared" si="139"/>
        <v>6377.9820000000009</v>
      </c>
      <c r="P266" s="49">
        <f t="shared" si="141"/>
        <v>6377.9820000000009</v>
      </c>
      <c r="Q266" s="49">
        <f t="shared" si="141"/>
        <v>6377.9820000000009</v>
      </c>
      <c r="R266" s="49">
        <f t="shared" si="141"/>
        <v>6377.9820000000009</v>
      </c>
      <c r="S266" s="49">
        <f t="shared" si="141"/>
        <v>6377.9820000000009</v>
      </c>
      <c r="T266" s="49">
        <f t="shared" si="141"/>
        <v>6377.9820000000009</v>
      </c>
      <c r="U266" s="49">
        <f t="shared" si="141"/>
        <v>6377.9820000000009</v>
      </c>
      <c r="V266" s="49">
        <f t="shared" si="141"/>
        <v>6377.9820000000009</v>
      </c>
      <c r="W266" s="49">
        <f t="shared" si="141"/>
        <v>6377.9820000000009</v>
      </c>
      <c r="X266" s="49">
        <f t="shared" si="141"/>
        <v>6377.9820000000009</v>
      </c>
      <c r="Y266" s="49">
        <f t="shared" si="141"/>
        <v>6377.9820000000009</v>
      </c>
      <c r="Z266" s="49">
        <f t="shared" si="141"/>
        <v>6377.9820000000009</v>
      </c>
      <c r="AA266" s="49">
        <f t="shared" si="141"/>
        <v>6377.9820000000009</v>
      </c>
    </row>
    <row r="267" spans="2:28" x14ac:dyDescent="0.3">
      <c r="B267" s="57" t="s">
        <v>27</v>
      </c>
      <c r="C267" s="57"/>
      <c r="D267" s="57"/>
      <c r="E267" s="57"/>
      <c r="F267" s="57"/>
      <c r="G267" s="78"/>
      <c r="H267" s="78"/>
      <c r="I267" s="78"/>
      <c r="J267" s="78"/>
      <c r="K267" s="78"/>
      <c r="L267" s="78"/>
      <c r="M267" s="78"/>
      <c r="N267" s="78"/>
      <c r="O267" s="78"/>
      <c r="P267" s="78"/>
      <c r="Q267" s="78"/>
      <c r="R267" s="78"/>
      <c r="S267" s="78"/>
      <c r="T267" s="78"/>
      <c r="U267" s="78"/>
      <c r="V267" s="78"/>
      <c r="W267" s="78"/>
      <c r="X267" s="78"/>
      <c r="Y267" s="78"/>
      <c r="Z267" s="78"/>
      <c r="AA267" s="78"/>
    </row>
    <row r="268" spans="2:28" x14ac:dyDescent="0.3">
      <c r="B268" s="47" t="s">
        <v>125</v>
      </c>
      <c r="C268" s="110">
        <v>1938</v>
      </c>
      <c r="D268" s="426">
        <v>1.9</v>
      </c>
      <c r="E268" s="434"/>
      <c r="F268" s="47"/>
      <c r="G268" s="49">
        <v>7849.8739999999998</v>
      </c>
      <c r="H268" s="49">
        <v>8621.2659999999996</v>
      </c>
      <c r="I268" s="49">
        <v>8717.6899999999987</v>
      </c>
      <c r="J268" s="49">
        <v>8548.19</v>
      </c>
      <c r="K268" s="49">
        <v>6937.6459999999988</v>
      </c>
      <c r="L268" s="49">
        <v>8959.4909999999982</v>
      </c>
      <c r="M268" s="49">
        <v>5032.6009999999997</v>
      </c>
      <c r="N268" s="49">
        <v>8563.4409999999989</v>
      </c>
      <c r="O268" s="49">
        <f t="shared" si="139"/>
        <v>7518.5109999999986</v>
      </c>
      <c r="P268" s="49">
        <f t="shared" ref="P268:AA270" si="142">+O268</f>
        <v>7518.5109999999986</v>
      </c>
      <c r="Q268" s="49">
        <f t="shared" si="142"/>
        <v>7518.5109999999986</v>
      </c>
      <c r="R268" s="49">
        <f t="shared" si="142"/>
        <v>7518.5109999999986</v>
      </c>
      <c r="S268" s="49">
        <f t="shared" si="142"/>
        <v>7518.5109999999986</v>
      </c>
      <c r="T268" s="49">
        <f t="shared" si="142"/>
        <v>7518.5109999999986</v>
      </c>
      <c r="U268" s="49">
        <f t="shared" si="142"/>
        <v>7518.5109999999986</v>
      </c>
      <c r="V268" s="49">
        <f t="shared" si="142"/>
        <v>7518.5109999999986</v>
      </c>
      <c r="W268" s="49">
        <f t="shared" si="142"/>
        <v>7518.5109999999986</v>
      </c>
      <c r="X268" s="49">
        <f t="shared" si="142"/>
        <v>7518.5109999999986</v>
      </c>
      <c r="Y268" s="49">
        <f t="shared" si="142"/>
        <v>7518.5109999999986</v>
      </c>
      <c r="Z268" s="49">
        <f t="shared" si="142"/>
        <v>7518.5109999999986</v>
      </c>
      <c r="AA268" s="49">
        <f t="shared" si="142"/>
        <v>7518.5109999999986</v>
      </c>
    </row>
    <row r="269" spans="2:28" x14ac:dyDescent="0.3">
      <c r="B269" s="47" t="s">
        <v>126</v>
      </c>
      <c r="C269" s="110">
        <v>1941</v>
      </c>
      <c r="D269" s="426">
        <v>1.47</v>
      </c>
      <c r="E269" s="434"/>
      <c r="F269" s="47"/>
      <c r="G269" s="49">
        <v>6640.692</v>
      </c>
      <c r="H269" s="49">
        <v>7153.3130000000001</v>
      </c>
      <c r="I269" s="49">
        <v>7359.0120000000006</v>
      </c>
      <c r="J269" s="49">
        <v>7028.0189999999984</v>
      </c>
      <c r="K269" s="49">
        <v>5548.0110000000004</v>
      </c>
      <c r="L269" s="49">
        <v>7037.5190000000011</v>
      </c>
      <c r="M269" s="49">
        <v>3451.9039999999995</v>
      </c>
      <c r="N269" s="49">
        <v>6239.6179999999995</v>
      </c>
      <c r="O269" s="49">
        <f t="shared" si="139"/>
        <v>5576.3470000000007</v>
      </c>
      <c r="P269" s="49">
        <f t="shared" si="142"/>
        <v>5576.3470000000007</v>
      </c>
      <c r="Q269" s="49">
        <f t="shared" si="142"/>
        <v>5576.3470000000007</v>
      </c>
      <c r="R269" s="49">
        <f t="shared" si="142"/>
        <v>5576.3470000000007</v>
      </c>
      <c r="S269" s="49">
        <f t="shared" si="142"/>
        <v>5576.3470000000007</v>
      </c>
      <c r="T269" s="49">
        <f t="shared" si="142"/>
        <v>5576.3470000000007</v>
      </c>
      <c r="U269" s="49">
        <f t="shared" si="142"/>
        <v>5576.3470000000007</v>
      </c>
      <c r="V269" s="49">
        <f t="shared" si="142"/>
        <v>5576.3470000000007</v>
      </c>
      <c r="W269" s="49">
        <f t="shared" si="142"/>
        <v>5576.3470000000007</v>
      </c>
      <c r="X269" s="49">
        <f t="shared" si="142"/>
        <v>5576.3470000000007</v>
      </c>
      <c r="Y269" s="49">
        <f t="shared" si="142"/>
        <v>5576.3470000000007</v>
      </c>
      <c r="Z269" s="49">
        <f t="shared" si="142"/>
        <v>5576.3470000000007</v>
      </c>
      <c r="AA269" s="49">
        <f t="shared" si="142"/>
        <v>5576.3470000000007</v>
      </c>
    </row>
    <row r="270" spans="2:28" x14ac:dyDescent="0.3">
      <c r="B270" s="47" t="s">
        <v>127</v>
      </c>
      <c r="C270" s="110">
        <v>1998</v>
      </c>
      <c r="D270" s="426">
        <v>3.44</v>
      </c>
      <c r="E270" s="434"/>
      <c r="F270" s="47"/>
      <c r="G270" s="49">
        <v>21561.253000000001</v>
      </c>
      <c r="H270" s="49">
        <v>20814.348000000002</v>
      </c>
      <c r="I270" s="49">
        <v>22706.515999999996</v>
      </c>
      <c r="J270" s="49">
        <v>22174.722999999998</v>
      </c>
      <c r="K270" s="49">
        <v>20967.522999999997</v>
      </c>
      <c r="L270" s="49">
        <v>23605.780999999999</v>
      </c>
      <c r="M270" s="49">
        <v>18889.346000000001</v>
      </c>
      <c r="N270" s="49">
        <v>20402.677000000003</v>
      </c>
      <c r="O270" s="49">
        <f t="shared" si="139"/>
        <v>20965.934666666668</v>
      </c>
      <c r="P270" s="49">
        <f t="shared" si="142"/>
        <v>20965.934666666668</v>
      </c>
      <c r="Q270" s="49">
        <f t="shared" si="142"/>
        <v>20965.934666666668</v>
      </c>
      <c r="R270" s="49">
        <f t="shared" si="142"/>
        <v>20965.934666666668</v>
      </c>
      <c r="S270" s="49">
        <f t="shared" si="142"/>
        <v>20965.934666666668</v>
      </c>
      <c r="T270" s="49">
        <f t="shared" si="142"/>
        <v>20965.934666666668</v>
      </c>
      <c r="U270" s="49">
        <f t="shared" si="142"/>
        <v>20965.934666666668</v>
      </c>
      <c r="V270" s="49">
        <f t="shared" si="142"/>
        <v>20965.934666666668</v>
      </c>
      <c r="W270" s="49">
        <f t="shared" si="142"/>
        <v>20965.934666666668</v>
      </c>
      <c r="X270" s="49">
        <f t="shared" si="142"/>
        <v>20965.934666666668</v>
      </c>
      <c r="Y270" s="49">
        <f t="shared" si="142"/>
        <v>20965.934666666668</v>
      </c>
      <c r="Z270" s="49">
        <f t="shared" si="142"/>
        <v>20965.934666666668</v>
      </c>
      <c r="AA270" s="49">
        <f t="shared" si="142"/>
        <v>20965.934666666668</v>
      </c>
    </row>
    <row r="271" spans="2:28" x14ac:dyDescent="0.3">
      <c r="B271" s="57" t="s">
        <v>28</v>
      </c>
      <c r="C271" s="57"/>
      <c r="D271" s="57"/>
      <c r="E271" s="57"/>
      <c r="F271" s="57"/>
      <c r="G271" s="78"/>
      <c r="H271" s="78"/>
      <c r="I271" s="78"/>
      <c r="J271" s="78"/>
      <c r="K271" s="78"/>
      <c r="L271" s="78"/>
      <c r="M271" s="78"/>
      <c r="N271" s="78"/>
      <c r="O271" s="78"/>
      <c r="P271" s="78"/>
      <c r="Q271" s="78"/>
      <c r="R271" s="78"/>
      <c r="S271" s="78"/>
      <c r="T271" s="78"/>
      <c r="U271" s="78"/>
      <c r="V271" s="78"/>
      <c r="W271" s="78"/>
      <c r="X271" s="78"/>
      <c r="Y271" s="78"/>
      <c r="Z271" s="78"/>
      <c r="AA271" s="78"/>
    </row>
    <row r="272" spans="2:28" x14ac:dyDescent="0.3">
      <c r="B272" s="47" t="s">
        <v>156</v>
      </c>
      <c r="C272" s="110">
        <v>1974</v>
      </c>
      <c r="D272" s="426">
        <v>13.653</v>
      </c>
      <c r="E272" s="434"/>
      <c r="F272" s="47"/>
      <c r="G272" s="49">
        <v>79039.576000000001</v>
      </c>
      <c r="H272" s="49">
        <v>58254.008999999998</v>
      </c>
      <c r="I272" s="49">
        <v>51281.207999999999</v>
      </c>
      <c r="J272" s="49">
        <v>86457.891000000003</v>
      </c>
      <c r="K272" s="49">
        <v>85493.885999999984</v>
      </c>
      <c r="L272" s="49">
        <v>81648.601999999999</v>
      </c>
      <c r="M272" s="49">
        <v>62691.474999999999</v>
      </c>
      <c r="N272" s="49">
        <v>85854.238000000012</v>
      </c>
      <c r="O272" s="49">
        <f t="shared" si="139"/>
        <v>76731.438333333339</v>
      </c>
      <c r="P272" s="49">
        <f t="shared" ref="P272:AA273" si="143">+O272</f>
        <v>76731.438333333339</v>
      </c>
      <c r="Q272" s="49">
        <f t="shared" si="143"/>
        <v>76731.438333333339</v>
      </c>
      <c r="R272" s="49">
        <f t="shared" si="143"/>
        <v>76731.438333333339</v>
      </c>
      <c r="S272" s="49">
        <f t="shared" si="143"/>
        <v>76731.438333333339</v>
      </c>
      <c r="T272" s="49">
        <f t="shared" si="143"/>
        <v>76731.438333333339</v>
      </c>
      <c r="U272" s="49">
        <f t="shared" si="143"/>
        <v>76731.438333333339</v>
      </c>
      <c r="V272" s="49">
        <f t="shared" si="143"/>
        <v>76731.438333333339</v>
      </c>
      <c r="W272" s="49">
        <f t="shared" si="143"/>
        <v>76731.438333333339</v>
      </c>
      <c r="X272" s="49">
        <f t="shared" si="143"/>
        <v>76731.438333333339</v>
      </c>
      <c r="Y272" s="49">
        <f t="shared" si="143"/>
        <v>76731.438333333339</v>
      </c>
      <c r="Z272" s="49">
        <f t="shared" si="143"/>
        <v>76731.438333333339</v>
      </c>
      <c r="AA272" s="49">
        <f t="shared" si="143"/>
        <v>76731.438333333339</v>
      </c>
    </row>
    <row r="273" spans="2:27" x14ac:dyDescent="0.3">
      <c r="B273" s="47" t="s">
        <v>157</v>
      </c>
      <c r="C273" s="110">
        <v>1974</v>
      </c>
      <c r="D273" s="426">
        <v>14.364000000000001</v>
      </c>
      <c r="E273" s="434"/>
      <c r="F273" s="47"/>
      <c r="G273" s="49">
        <v>81435.836999999985</v>
      </c>
      <c r="H273" s="49">
        <v>91507.437000000005</v>
      </c>
      <c r="I273" s="49">
        <v>83285.340000000011</v>
      </c>
      <c r="J273" s="49">
        <v>84764.018000000011</v>
      </c>
      <c r="K273" s="49">
        <v>77185.930999999997</v>
      </c>
      <c r="L273" s="49">
        <v>81079.112999999998</v>
      </c>
      <c r="M273" s="49">
        <v>67549.632999999987</v>
      </c>
      <c r="N273" s="49">
        <v>83617.593000000008</v>
      </c>
      <c r="O273" s="49">
        <f t="shared" si="139"/>
        <v>77415.446333333326</v>
      </c>
      <c r="P273" s="49">
        <f t="shared" si="143"/>
        <v>77415.446333333326</v>
      </c>
      <c r="Q273" s="49">
        <f t="shared" si="143"/>
        <v>77415.446333333326</v>
      </c>
      <c r="R273" s="49">
        <f t="shared" si="143"/>
        <v>77415.446333333326</v>
      </c>
      <c r="S273" s="49">
        <f t="shared" si="143"/>
        <v>77415.446333333326</v>
      </c>
      <c r="T273" s="49">
        <f t="shared" si="143"/>
        <v>77415.446333333326</v>
      </c>
      <c r="U273" s="49">
        <f t="shared" si="143"/>
        <v>77415.446333333326</v>
      </c>
      <c r="V273" s="49">
        <f t="shared" si="143"/>
        <v>77415.446333333326</v>
      </c>
      <c r="W273" s="49">
        <f t="shared" si="143"/>
        <v>77415.446333333326</v>
      </c>
      <c r="X273" s="49">
        <f t="shared" si="143"/>
        <v>77415.446333333326</v>
      </c>
      <c r="Y273" s="49">
        <f t="shared" si="143"/>
        <v>77415.446333333326</v>
      </c>
      <c r="Z273" s="49">
        <f t="shared" si="143"/>
        <v>77415.446333333326</v>
      </c>
      <c r="AA273" s="49">
        <f t="shared" si="143"/>
        <v>77415.446333333326</v>
      </c>
    </row>
    <row r="274" spans="2:27" x14ac:dyDescent="0.3">
      <c r="B274" s="57" t="s">
        <v>32</v>
      </c>
      <c r="C274" s="57"/>
      <c r="D274" s="57"/>
      <c r="E274" s="57"/>
      <c r="F274" s="57"/>
      <c r="G274" s="78"/>
      <c r="H274" s="78"/>
      <c r="I274" s="78"/>
      <c r="J274" s="78"/>
      <c r="K274" s="78"/>
      <c r="L274" s="78"/>
      <c r="M274" s="78"/>
      <c r="N274" s="78"/>
      <c r="O274" s="78"/>
      <c r="P274" s="78"/>
      <c r="Q274" s="78"/>
      <c r="R274" s="78"/>
      <c r="S274" s="78"/>
      <c r="T274" s="78"/>
      <c r="U274" s="78"/>
      <c r="V274" s="78"/>
      <c r="W274" s="78"/>
      <c r="X274" s="78"/>
      <c r="Y274" s="78"/>
      <c r="Z274" s="78"/>
      <c r="AA274" s="78"/>
    </row>
    <row r="275" spans="2:27" x14ac:dyDescent="0.3">
      <c r="B275" s="47" t="s">
        <v>148</v>
      </c>
      <c r="C275" s="110">
        <v>1958</v>
      </c>
      <c r="D275" s="426">
        <v>6.13</v>
      </c>
      <c r="E275" s="434"/>
      <c r="F275" s="47"/>
      <c r="G275" s="49">
        <v>43231.955000000002</v>
      </c>
      <c r="H275" s="49">
        <v>41999.478999999999</v>
      </c>
      <c r="I275" s="49">
        <v>43164.040999999997</v>
      </c>
      <c r="J275" s="49">
        <v>45495.326000000001</v>
      </c>
      <c r="K275" s="49">
        <v>43258.477999999996</v>
      </c>
      <c r="L275" s="49">
        <v>41867.756999999991</v>
      </c>
      <c r="M275" s="49">
        <v>36040.239999999998</v>
      </c>
      <c r="N275" s="49">
        <v>41074.044999999998</v>
      </c>
      <c r="O275" s="49">
        <f t="shared" si="139"/>
        <v>39660.68066666666</v>
      </c>
      <c r="P275" s="49">
        <f>+O275</f>
        <v>39660.68066666666</v>
      </c>
      <c r="Q275" s="49">
        <f t="shared" ref="Q275:AA275" si="144">+P275</f>
        <v>39660.68066666666</v>
      </c>
      <c r="R275" s="49">
        <f t="shared" si="144"/>
        <v>39660.68066666666</v>
      </c>
      <c r="S275" s="49">
        <f t="shared" si="144"/>
        <v>39660.68066666666</v>
      </c>
      <c r="T275" s="49">
        <f t="shared" si="144"/>
        <v>39660.68066666666</v>
      </c>
      <c r="U275" s="49">
        <f t="shared" si="144"/>
        <v>39660.68066666666</v>
      </c>
      <c r="V275" s="49">
        <f t="shared" si="144"/>
        <v>39660.68066666666</v>
      </c>
      <c r="W275" s="49">
        <f t="shared" si="144"/>
        <v>39660.68066666666</v>
      </c>
      <c r="X275" s="49">
        <f t="shared" si="144"/>
        <v>39660.68066666666</v>
      </c>
      <c r="Y275" s="49">
        <f t="shared" si="144"/>
        <v>39660.68066666666</v>
      </c>
      <c r="Z275" s="49">
        <f t="shared" si="144"/>
        <v>39660.68066666666</v>
      </c>
      <c r="AA275" s="49">
        <f t="shared" si="144"/>
        <v>39660.68066666666</v>
      </c>
    </row>
    <row r="276" spans="2:27" x14ac:dyDescent="0.3">
      <c r="B276" s="57" t="s">
        <v>29</v>
      </c>
      <c r="C276" s="392" t="s">
        <v>477</v>
      </c>
      <c r="D276" s="433">
        <v>38.4</v>
      </c>
      <c r="E276" s="57"/>
      <c r="F276" s="57"/>
      <c r="G276" s="78"/>
      <c r="H276" s="78"/>
      <c r="I276" s="78"/>
      <c r="J276" s="78"/>
      <c r="K276" s="78"/>
      <c r="L276" s="78"/>
      <c r="M276" s="78"/>
      <c r="N276" s="78"/>
      <c r="O276" s="78"/>
      <c r="P276" s="78"/>
      <c r="Q276" s="78"/>
      <c r="R276" s="78"/>
      <c r="S276" s="78"/>
      <c r="T276" s="78"/>
      <c r="U276" s="78"/>
      <c r="V276" s="78"/>
      <c r="W276" s="78"/>
      <c r="X276" s="78"/>
      <c r="Y276" s="78"/>
      <c r="Z276" s="78"/>
      <c r="AA276" s="78"/>
    </row>
    <row r="277" spans="2:27" x14ac:dyDescent="0.3">
      <c r="B277" s="47" t="s">
        <v>149</v>
      </c>
      <c r="C277" s="110"/>
      <c r="D277" s="424"/>
      <c r="E277" s="434"/>
      <c r="F277" s="47"/>
      <c r="G277" s="49">
        <v>5956.3567500000081</v>
      </c>
      <c r="H277" s="49">
        <v>3270.2496729999998</v>
      </c>
      <c r="I277" s="49">
        <v>5549.0742733333336</v>
      </c>
      <c r="J277" s="49">
        <v>3766.9215449999997</v>
      </c>
      <c r="K277" s="49">
        <v>4567.3325349999996</v>
      </c>
      <c r="L277" s="49">
        <v>1658.2380349999999</v>
      </c>
      <c r="M277" s="49">
        <v>38.668450000000043</v>
      </c>
      <c r="N277" s="49">
        <v>0</v>
      </c>
      <c r="O277" s="49">
        <f t="shared" si="139"/>
        <v>565.63549499999999</v>
      </c>
      <c r="P277" s="49">
        <f t="shared" ref="P277:AA278" si="145">+O277</f>
        <v>565.63549499999999</v>
      </c>
      <c r="Q277" s="49">
        <f t="shared" si="145"/>
        <v>565.63549499999999</v>
      </c>
      <c r="R277" s="49">
        <f t="shared" si="145"/>
        <v>565.63549499999999</v>
      </c>
      <c r="S277" s="49">
        <f t="shared" si="145"/>
        <v>565.63549499999999</v>
      </c>
      <c r="T277" s="49">
        <f t="shared" si="145"/>
        <v>565.63549499999999</v>
      </c>
      <c r="U277" s="49">
        <f t="shared" si="145"/>
        <v>565.63549499999999</v>
      </c>
      <c r="V277" s="49">
        <f t="shared" si="145"/>
        <v>565.63549499999999</v>
      </c>
      <c r="W277" s="49">
        <f t="shared" si="145"/>
        <v>565.63549499999999</v>
      </c>
      <c r="X277" s="49">
        <f t="shared" si="145"/>
        <v>565.63549499999999</v>
      </c>
      <c r="Y277" s="49">
        <f t="shared" si="145"/>
        <v>565.63549499999999</v>
      </c>
      <c r="Z277" s="49">
        <f t="shared" si="145"/>
        <v>565.63549499999999</v>
      </c>
      <c r="AA277" s="49">
        <f t="shared" si="145"/>
        <v>565.63549499999999</v>
      </c>
    </row>
    <row r="278" spans="2:27" x14ac:dyDescent="0.3">
      <c r="B278" s="47" t="s">
        <v>173</v>
      </c>
      <c r="C278" s="110"/>
      <c r="D278" s="424"/>
      <c r="E278" s="434"/>
      <c r="F278" s="47"/>
      <c r="G278" s="49">
        <v>106123.25798427663</v>
      </c>
      <c r="H278" s="49">
        <v>124388.162</v>
      </c>
      <c r="I278" s="49">
        <v>135330.64200000002</v>
      </c>
      <c r="J278" s="49">
        <v>141958.08270668716</v>
      </c>
      <c r="K278" s="49">
        <v>127364.10300000003</v>
      </c>
      <c r="L278" s="49">
        <v>130614.54000000001</v>
      </c>
      <c r="M278" s="49">
        <v>50256.089999999975</v>
      </c>
      <c r="N278" s="49">
        <v>127227.77000000002</v>
      </c>
      <c r="O278" s="49">
        <f t="shared" si="139"/>
        <v>102699.46666666667</v>
      </c>
      <c r="P278" s="49">
        <f t="shared" si="145"/>
        <v>102699.46666666667</v>
      </c>
      <c r="Q278" s="49">
        <f t="shared" si="145"/>
        <v>102699.46666666667</v>
      </c>
      <c r="R278" s="49">
        <f t="shared" si="145"/>
        <v>102699.46666666667</v>
      </c>
      <c r="S278" s="49">
        <f t="shared" si="145"/>
        <v>102699.46666666667</v>
      </c>
      <c r="T278" s="49">
        <f t="shared" si="145"/>
        <v>102699.46666666667</v>
      </c>
      <c r="U278" s="49">
        <f t="shared" si="145"/>
        <v>102699.46666666667</v>
      </c>
      <c r="V278" s="49">
        <f t="shared" si="145"/>
        <v>102699.46666666667</v>
      </c>
      <c r="W278" s="49">
        <f t="shared" si="145"/>
        <v>102699.46666666667</v>
      </c>
      <c r="X278" s="49">
        <f t="shared" si="145"/>
        <v>102699.46666666667</v>
      </c>
      <c r="Y278" s="49">
        <f t="shared" si="145"/>
        <v>102699.46666666667</v>
      </c>
      <c r="Z278" s="49">
        <f t="shared" si="145"/>
        <v>102699.46666666667</v>
      </c>
      <c r="AA278" s="49">
        <f t="shared" si="145"/>
        <v>102699.46666666667</v>
      </c>
    </row>
    <row r="279" spans="2:27" x14ac:dyDescent="0.3">
      <c r="B279" s="57" t="s">
        <v>30</v>
      </c>
      <c r="C279" s="392"/>
      <c r="D279" s="57"/>
      <c r="E279" s="57"/>
      <c r="F279" s="57"/>
      <c r="G279" s="78"/>
      <c r="H279" s="78"/>
      <c r="I279" s="78"/>
      <c r="J279" s="78"/>
      <c r="K279" s="78"/>
      <c r="L279" s="78"/>
      <c r="M279" s="78"/>
      <c r="N279" s="78"/>
      <c r="O279" s="78"/>
      <c r="P279" s="78"/>
      <c r="Q279" s="78"/>
      <c r="R279" s="78"/>
      <c r="S279" s="78"/>
      <c r="T279" s="78"/>
      <c r="U279" s="78"/>
      <c r="V279" s="78"/>
      <c r="W279" s="78"/>
      <c r="X279" s="78"/>
      <c r="Y279" s="78"/>
      <c r="Z279" s="78"/>
      <c r="AA279" s="78"/>
    </row>
    <row r="280" spans="2:27" x14ac:dyDescent="0.3">
      <c r="B280" s="47" t="s">
        <v>145</v>
      </c>
      <c r="C280" s="110">
        <v>1939</v>
      </c>
      <c r="D280" s="426">
        <v>1.91</v>
      </c>
      <c r="E280" s="434"/>
      <c r="F280" s="47"/>
      <c r="G280" s="49">
        <v>12172.712</v>
      </c>
      <c r="H280" s="49">
        <v>11726.216</v>
      </c>
      <c r="I280" s="49">
        <v>12408.229999999998</v>
      </c>
      <c r="J280" s="49">
        <v>12482.189999999999</v>
      </c>
      <c r="K280" s="49">
        <v>11577.643</v>
      </c>
      <c r="L280" s="49">
        <v>11539.983</v>
      </c>
      <c r="M280" s="49">
        <v>9108.7590000000018</v>
      </c>
      <c r="N280" s="49">
        <v>10812.361999999999</v>
      </c>
      <c r="O280" s="49">
        <f t="shared" si="139"/>
        <v>10487.034666666666</v>
      </c>
      <c r="P280" s="49">
        <f t="shared" ref="P280:AA281" si="146">+O280</f>
        <v>10487.034666666666</v>
      </c>
      <c r="Q280" s="49">
        <f t="shared" si="146"/>
        <v>10487.034666666666</v>
      </c>
      <c r="R280" s="49">
        <f t="shared" si="146"/>
        <v>10487.034666666666</v>
      </c>
      <c r="S280" s="49">
        <f t="shared" si="146"/>
        <v>10487.034666666666</v>
      </c>
      <c r="T280" s="49">
        <f t="shared" si="146"/>
        <v>10487.034666666666</v>
      </c>
      <c r="U280" s="49">
        <f t="shared" si="146"/>
        <v>10487.034666666666</v>
      </c>
      <c r="V280" s="49">
        <f t="shared" si="146"/>
        <v>10487.034666666666</v>
      </c>
      <c r="W280" s="49">
        <f t="shared" si="146"/>
        <v>10487.034666666666</v>
      </c>
      <c r="X280" s="49">
        <f t="shared" si="146"/>
        <v>10487.034666666666</v>
      </c>
      <c r="Y280" s="49">
        <f t="shared" si="146"/>
        <v>10487.034666666666</v>
      </c>
      <c r="Z280" s="49">
        <f t="shared" si="146"/>
        <v>10487.034666666666</v>
      </c>
      <c r="AA280" s="49">
        <f t="shared" si="146"/>
        <v>10487.034666666666</v>
      </c>
    </row>
    <row r="281" spans="2:27" x14ac:dyDescent="0.3">
      <c r="B281" s="47" t="s">
        <v>146</v>
      </c>
      <c r="C281" s="110">
        <v>1944</v>
      </c>
      <c r="D281" s="426">
        <v>2.4500000000000002</v>
      </c>
      <c r="E281" s="434"/>
      <c r="F281" s="47"/>
      <c r="G281" s="49">
        <v>14106.915000000001</v>
      </c>
      <c r="H281" s="49">
        <v>13902.388999999999</v>
      </c>
      <c r="I281" s="49">
        <v>15012.157999999999</v>
      </c>
      <c r="J281" s="49">
        <v>15518.906999999997</v>
      </c>
      <c r="K281" s="49">
        <v>14227.504000000001</v>
      </c>
      <c r="L281" s="49">
        <v>14778.668000000003</v>
      </c>
      <c r="M281" s="49">
        <v>11847.556</v>
      </c>
      <c r="N281" s="49">
        <v>13785.387999999999</v>
      </c>
      <c r="O281" s="49">
        <f t="shared" si="139"/>
        <v>13470.537333333334</v>
      </c>
      <c r="P281" s="49">
        <f t="shared" si="146"/>
        <v>13470.537333333334</v>
      </c>
      <c r="Q281" s="49">
        <f t="shared" si="146"/>
        <v>13470.537333333334</v>
      </c>
      <c r="R281" s="49">
        <f t="shared" si="146"/>
        <v>13470.537333333334</v>
      </c>
      <c r="S281" s="49">
        <f t="shared" si="146"/>
        <v>13470.537333333334</v>
      </c>
      <c r="T281" s="49">
        <f t="shared" si="146"/>
        <v>13470.537333333334</v>
      </c>
      <c r="U281" s="49">
        <f t="shared" si="146"/>
        <v>13470.537333333334</v>
      </c>
      <c r="V281" s="49">
        <f t="shared" si="146"/>
        <v>13470.537333333334</v>
      </c>
      <c r="W281" s="49">
        <f t="shared" si="146"/>
        <v>13470.537333333334</v>
      </c>
      <c r="X281" s="49">
        <f t="shared" si="146"/>
        <v>13470.537333333334</v>
      </c>
      <c r="Y281" s="49">
        <f t="shared" si="146"/>
        <v>13470.537333333334</v>
      </c>
      <c r="Z281" s="49">
        <f t="shared" si="146"/>
        <v>13470.537333333334</v>
      </c>
      <c r="AA281" s="49">
        <f t="shared" si="146"/>
        <v>13470.537333333334</v>
      </c>
    </row>
    <row r="282" spans="2:27" x14ac:dyDescent="0.3">
      <c r="B282" s="47" t="s">
        <v>147</v>
      </c>
      <c r="C282" s="110">
        <v>1944</v>
      </c>
      <c r="D282" s="426">
        <v>1.84</v>
      </c>
      <c r="E282" s="434"/>
      <c r="F282" s="47"/>
      <c r="G282" s="49">
        <v>11843.383000000002</v>
      </c>
      <c r="H282" s="49">
        <v>11428.677</v>
      </c>
      <c r="I282" s="49">
        <v>12088.935999999998</v>
      </c>
      <c r="J282" s="49">
        <v>12150.215</v>
      </c>
      <c r="K282" s="49">
        <v>11142.393000000002</v>
      </c>
      <c r="L282" s="49">
        <v>11178.842000000001</v>
      </c>
      <c r="M282" s="49">
        <v>9006.9719999999979</v>
      </c>
      <c r="N282" s="49">
        <v>10677.777000000002</v>
      </c>
      <c r="O282" s="49">
        <f>+AVERAGE(L282:N282)</f>
        <v>10287.863666666666</v>
      </c>
      <c r="P282" s="49"/>
      <c r="Q282" s="49"/>
      <c r="R282" s="49"/>
      <c r="S282" s="49"/>
      <c r="T282" s="49"/>
      <c r="U282" s="49"/>
      <c r="V282" s="49"/>
      <c r="W282" s="49"/>
      <c r="X282" s="49"/>
      <c r="Y282" s="49"/>
      <c r="Z282" s="49"/>
      <c r="AA282" s="49"/>
    </row>
    <row r="283" spans="2:27" x14ac:dyDescent="0.3">
      <c r="B283" s="57" t="s">
        <v>31</v>
      </c>
      <c r="C283" s="392"/>
      <c r="D283" s="57"/>
      <c r="E283" s="57"/>
      <c r="F283" s="57"/>
      <c r="G283" s="78"/>
      <c r="H283" s="78"/>
      <c r="I283" s="78"/>
      <c r="J283" s="78"/>
      <c r="K283" s="78"/>
      <c r="L283" s="78"/>
      <c r="M283" s="78"/>
      <c r="N283" s="78"/>
      <c r="O283" s="78"/>
      <c r="P283" s="78"/>
      <c r="Q283" s="78"/>
      <c r="R283" s="78"/>
      <c r="S283" s="78"/>
      <c r="T283" s="78"/>
      <c r="U283" s="78"/>
      <c r="V283" s="78"/>
      <c r="W283" s="78"/>
      <c r="X283" s="78"/>
      <c r="Y283" s="78"/>
      <c r="Z283" s="78"/>
      <c r="AA283" s="78"/>
    </row>
    <row r="284" spans="2:27" x14ac:dyDescent="0.3">
      <c r="B284" s="47" t="s">
        <v>136</v>
      </c>
      <c r="C284" s="110">
        <v>1966</v>
      </c>
      <c r="D284" s="426">
        <v>13.18</v>
      </c>
      <c r="E284" s="47"/>
      <c r="F284" s="47"/>
      <c r="G284" s="49">
        <v>63528.492000000006</v>
      </c>
      <c r="H284" s="49">
        <v>66072.78</v>
      </c>
      <c r="I284" s="49">
        <v>69551.442999999999</v>
      </c>
      <c r="J284" s="49">
        <v>71908.643000000011</v>
      </c>
      <c r="K284" s="49">
        <v>64762.602000000014</v>
      </c>
      <c r="L284" s="49">
        <v>71255.490000000005</v>
      </c>
      <c r="M284" s="49">
        <v>53061.766000000011</v>
      </c>
      <c r="N284" s="49">
        <v>68171.011999999988</v>
      </c>
      <c r="O284" s="49">
        <f t="shared" ref="O284:O285" si="147">+AVERAGE(L284:N284)</f>
        <v>64162.756000000001</v>
      </c>
      <c r="P284" s="49">
        <f t="shared" ref="P284:AA285" si="148">+O284</f>
        <v>64162.756000000001</v>
      </c>
      <c r="Q284" s="49">
        <f t="shared" si="148"/>
        <v>64162.756000000001</v>
      </c>
      <c r="R284" s="49">
        <f t="shared" si="148"/>
        <v>64162.756000000001</v>
      </c>
      <c r="S284" s="49">
        <f t="shared" si="148"/>
        <v>64162.756000000001</v>
      </c>
      <c r="T284" s="49">
        <f t="shared" si="148"/>
        <v>64162.756000000001</v>
      </c>
      <c r="U284" s="49">
        <f t="shared" si="148"/>
        <v>64162.756000000001</v>
      </c>
      <c r="V284" s="49">
        <f t="shared" si="148"/>
        <v>64162.756000000001</v>
      </c>
      <c r="W284" s="49">
        <f t="shared" si="148"/>
        <v>64162.756000000001</v>
      </c>
      <c r="X284" s="49">
        <f t="shared" si="148"/>
        <v>64162.756000000001</v>
      </c>
      <c r="Y284" s="49">
        <f t="shared" si="148"/>
        <v>64162.756000000001</v>
      </c>
      <c r="Z284" s="49">
        <f t="shared" si="148"/>
        <v>64162.756000000001</v>
      </c>
      <c r="AA284" s="49">
        <f t="shared" si="148"/>
        <v>64162.756000000001</v>
      </c>
    </row>
    <row r="285" spans="2:27" x14ac:dyDescent="0.3">
      <c r="B285" s="47" t="s">
        <v>137</v>
      </c>
      <c r="C285" s="110">
        <v>1967</v>
      </c>
      <c r="D285" s="426">
        <v>12.21</v>
      </c>
      <c r="E285" s="47"/>
      <c r="F285" s="47"/>
      <c r="G285" s="49">
        <v>62589.967000000004</v>
      </c>
      <c r="H285" s="49">
        <v>67733.377999999997</v>
      </c>
      <c r="I285" s="49">
        <v>64736.137999999999</v>
      </c>
      <c r="J285" s="49">
        <v>72200.594999999987</v>
      </c>
      <c r="K285" s="49">
        <v>62725.933999999994</v>
      </c>
      <c r="L285" s="49">
        <v>67719.197</v>
      </c>
      <c r="M285" s="49">
        <v>53897.992999999995</v>
      </c>
      <c r="N285" s="49">
        <v>66329.928</v>
      </c>
      <c r="O285" s="49">
        <f t="shared" si="147"/>
        <v>62649.039333333341</v>
      </c>
      <c r="P285" s="49">
        <f t="shared" si="148"/>
        <v>62649.039333333341</v>
      </c>
      <c r="Q285" s="49">
        <f t="shared" si="148"/>
        <v>62649.039333333341</v>
      </c>
      <c r="R285" s="49">
        <f t="shared" si="148"/>
        <v>62649.039333333341</v>
      </c>
      <c r="S285" s="49">
        <f t="shared" si="148"/>
        <v>62649.039333333341</v>
      </c>
      <c r="T285" s="49">
        <f t="shared" si="148"/>
        <v>62649.039333333341</v>
      </c>
      <c r="U285" s="49">
        <f t="shared" si="148"/>
        <v>62649.039333333341</v>
      </c>
      <c r="V285" s="49">
        <f t="shared" si="148"/>
        <v>62649.039333333341</v>
      </c>
      <c r="W285" s="49">
        <f t="shared" si="148"/>
        <v>62649.039333333341</v>
      </c>
      <c r="X285" s="49">
        <f t="shared" si="148"/>
        <v>62649.039333333341</v>
      </c>
      <c r="Y285" s="49">
        <f t="shared" si="148"/>
        <v>62649.039333333341</v>
      </c>
      <c r="Z285" s="49">
        <f t="shared" si="148"/>
        <v>62649.039333333341</v>
      </c>
      <c r="AA285" s="49">
        <f t="shared" si="148"/>
        <v>62649.039333333341</v>
      </c>
    </row>
    <row r="286" spans="2:27" x14ac:dyDescent="0.3">
      <c r="B286" s="57" t="s">
        <v>3</v>
      </c>
      <c r="C286" s="392"/>
      <c r="D286" s="57"/>
      <c r="E286" s="57"/>
      <c r="F286" s="57"/>
      <c r="G286" s="78"/>
      <c r="H286" s="78"/>
      <c r="I286" s="78"/>
      <c r="J286" s="78"/>
      <c r="K286" s="78"/>
      <c r="L286" s="78"/>
      <c r="M286" s="78"/>
      <c r="N286" s="78"/>
      <c r="O286" s="78"/>
      <c r="P286" s="78"/>
      <c r="Q286" s="78"/>
      <c r="R286" s="78"/>
      <c r="S286" s="78"/>
      <c r="T286" s="78"/>
      <c r="U286" s="78"/>
      <c r="V286" s="78"/>
      <c r="W286" s="78"/>
      <c r="X286" s="78"/>
      <c r="Y286" s="78"/>
      <c r="Z286" s="78"/>
      <c r="AA286" s="78"/>
    </row>
    <row r="287" spans="2:27" x14ac:dyDescent="0.3">
      <c r="B287" s="47" t="s">
        <v>121</v>
      </c>
      <c r="C287" s="110" t="s">
        <v>474</v>
      </c>
      <c r="D287" s="426">
        <v>64.319999999999993</v>
      </c>
      <c r="E287" s="47"/>
      <c r="F287" s="47"/>
      <c r="G287" s="49">
        <v>280767.663</v>
      </c>
      <c r="H287" s="49">
        <v>317689.14</v>
      </c>
      <c r="I287" s="49">
        <v>325459.11999999994</v>
      </c>
      <c r="J287" s="49">
        <v>373791.26</v>
      </c>
      <c r="K287" s="49">
        <v>371305.77999999997</v>
      </c>
      <c r="L287" s="49">
        <v>377176.696</v>
      </c>
      <c r="M287" s="49">
        <v>214629.93900000001</v>
      </c>
      <c r="N287" s="49">
        <v>284284.71100000001</v>
      </c>
      <c r="O287" s="49">
        <f>+AVERAGE(L287:N287)</f>
        <v>292030.44866666669</v>
      </c>
      <c r="P287" s="49">
        <f>+O287</f>
        <v>292030.44866666669</v>
      </c>
      <c r="Q287" s="49">
        <f t="shared" ref="Q287:AA287" si="149">+P287</f>
        <v>292030.44866666669</v>
      </c>
      <c r="R287" s="49">
        <f t="shared" si="149"/>
        <v>292030.44866666669</v>
      </c>
      <c r="S287" s="49">
        <f t="shared" si="149"/>
        <v>292030.44866666669</v>
      </c>
      <c r="T287" s="49">
        <f t="shared" si="149"/>
        <v>292030.44866666669</v>
      </c>
      <c r="U287" s="49">
        <f t="shared" si="149"/>
        <v>292030.44866666669</v>
      </c>
      <c r="V287" s="49">
        <f t="shared" si="149"/>
        <v>292030.44866666669</v>
      </c>
      <c r="W287" s="49">
        <f t="shared" si="149"/>
        <v>292030.44866666669</v>
      </c>
      <c r="X287" s="49">
        <f t="shared" si="149"/>
        <v>292030.44866666669</v>
      </c>
      <c r="Y287" s="49">
        <f t="shared" si="149"/>
        <v>292030.44866666669</v>
      </c>
      <c r="Z287" s="49">
        <f t="shared" si="149"/>
        <v>292030.44866666669</v>
      </c>
      <c r="AA287" s="49">
        <f t="shared" si="149"/>
        <v>292030.44866666669</v>
      </c>
    </row>
    <row r="288" spans="2:27" x14ac:dyDescent="0.3">
      <c r="B288" s="57" t="s">
        <v>33</v>
      </c>
      <c r="C288" s="392"/>
      <c r="D288" s="57"/>
      <c r="E288" s="57"/>
      <c r="F288" s="57"/>
      <c r="G288" s="78"/>
      <c r="H288" s="78"/>
      <c r="I288" s="78"/>
      <c r="J288" s="78"/>
      <c r="K288" s="78"/>
      <c r="L288" s="78"/>
      <c r="M288" s="78"/>
      <c r="N288" s="78"/>
      <c r="O288" s="78"/>
      <c r="P288" s="78"/>
      <c r="Q288" s="78"/>
      <c r="R288" s="78"/>
      <c r="S288" s="78"/>
      <c r="T288" s="78"/>
      <c r="U288" s="78"/>
      <c r="V288" s="78"/>
      <c r="W288" s="78"/>
      <c r="X288" s="78"/>
      <c r="Y288" s="78"/>
      <c r="Z288" s="78"/>
      <c r="AA288" s="78"/>
    </row>
    <row r="289" spans="2:27" x14ac:dyDescent="0.3">
      <c r="B289" s="47" t="s">
        <v>128</v>
      </c>
      <c r="C289" s="110">
        <v>1942</v>
      </c>
      <c r="D289" s="426">
        <v>2.5</v>
      </c>
      <c r="E289" s="47"/>
      <c r="F289" s="47"/>
      <c r="G289" s="49">
        <v>7186.3240000000005</v>
      </c>
      <c r="H289" s="49">
        <v>9743.3469999999998</v>
      </c>
      <c r="I289" s="49">
        <v>9415.1349999999984</v>
      </c>
      <c r="J289" s="49">
        <v>6458.4300000000012</v>
      </c>
      <c r="K289" s="49">
        <v>5475.3140000000012</v>
      </c>
      <c r="L289" s="49">
        <v>14181.028999999999</v>
      </c>
      <c r="M289" s="49">
        <v>4440.6810000000005</v>
      </c>
      <c r="N289" s="49">
        <v>9498.8819999999996</v>
      </c>
      <c r="O289" s="49">
        <f>+AVERAGE(L289:N289)</f>
        <v>9373.5306666666656</v>
      </c>
      <c r="P289" s="49">
        <f t="shared" ref="P289:AA293" si="150">+O289</f>
        <v>9373.5306666666656</v>
      </c>
      <c r="Q289" s="49">
        <f t="shared" si="150"/>
        <v>9373.5306666666656</v>
      </c>
      <c r="R289" s="49">
        <f t="shared" si="150"/>
        <v>9373.5306666666656</v>
      </c>
      <c r="S289" s="49">
        <f t="shared" si="150"/>
        <v>9373.5306666666656</v>
      </c>
      <c r="T289" s="49">
        <f t="shared" si="150"/>
        <v>9373.5306666666656</v>
      </c>
      <c r="U289" s="49">
        <f t="shared" si="150"/>
        <v>9373.5306666666656</v>
      </c>
      <c r="V289" s="49">
        <f t="shared" si="150"/>
        <v>9373.5306666666656</v>
      </c>
      <c r="W289" s="49">
        <f t="shared" si="150"/>
        <v>9373.5306666666656</v>
      </c>
      <c r="X289" s="49">
        <f t="shared" si="150"/>
        <v>9373.5306666666656</v>
      </c>
      <c r="Y289" s="49">
        <f t="shared" si="150"/>
        <v>9373.5306666666656</v>
      </c>
      <c r="Z289" s="49">
        <f t="shared" si="150"/>
        <v>9373.5306666666656</v>
      </c>
      <c r="AA289" s="49">
        <f t="shared" si="150"/>
        <v>9373.5306666666656</v>
      </c>
    </row>
    <row r="290" spans="2:27" x14ac:dyDescent="0.3">
      <c r="B290" s="47" t="s">
        <v>129</v>
      </c>
      <c r="C290" s="110">
        <v>1943</v>
      </c>
      <c r="D290" s="426">
        <v>2.38</v>
      </c>
      <c r="E290" s="47"/>
      <c r="F290" s="47"/>
      <c r="G290" s="49">
        <v>6993.1389999999992</v>
      </c>
      <c r="H290" s="49">
        <v>9282.0769999999993</v>
      </c>
      <c r="I290" s="49">
        <v>8698.5240000000013</v>
      </c>
      <c r="J290" s="49">
        <v>5753.3399999999992</v>
      </c>
      <c r="K290" s="49">
        <v>4912.893</v>
      </c>
      <c r="L290" s="49">
        <v>12898.888999999999</v>
      </c>
      <c r="M290" s="49">
        <v>5619.9069999999992</v>
      </c>
      <c r="N290" s="49">
        <v>9023.6689999999999</v>
      </c>
      <c r="O290" s="49">
        <f t="shared" ref="O290:O299" si="151">+AVERAGE(L290:N290)</f>
        <v>9180.8216666666649</v>
      </c>
      <c r="P290" s="49">
        <f t="shared" si="150"/>
        <v>9180.8216666666649</v>
      </c>
      <c r="Q290" s="49">
        <f t="shared" si="150"/>
        <v>9180.8216666666649</v>
      </c>
      <c r="R290" s="49">
        <f t="shared" si="150"/>
        <v>9180.8216666666649</v>
      </c>
      <c r="S290" s="49">
        <f t="shared" si="150"/>
        <v>9180.8216666666649</v>
      </c>
      <c r="T290" s="49">
        <f t="shared" si="150"/>
        <v>9180.8216666666649</v>
      </c>
      <c r="U290" s="49">
        <f t="shared" si="150"/>
        <v>9180.8216666666649</v>
      </c>
      <c r="V290" s="49">
        <f t="shared" si="150"/>
        <v>9180.8216666666649</v>
      </c>
      <c r="W290" s="49">
        <f t="shared" si="150"/>
        <v>9180.8216666666649</v>
      </c>
      <c r="X290" s="49">
        <f t="shared" si="150"/>
        <v>9180.8216666666649</v>
      </c>
      <c r="Y290" s="49">
        <f t="shared" si="150"/>
        <v>9180.8216666666649</v>
      </c>
      <c r="Z290" s="49">
        <f t="shared" si="150"/>
        <v>9180.8216666666649</v>
      </c>
      <c r="AA290" s="49">
        <f t="shared" si="150"/>
        <v>9180.8216666666649</v>
      </c>
    </row>
    <row r="291" spans="2:27" x14ac:dyDescent="0.3">
      <c r="B291" s="47" t="s">
        <v>130</v>
      </c>
      <c r="C291" s="110">
        <v>1945</v>
      </c>
      <c r="D291" s="426">
        <v>2.2999999999999998</v>
      </c>
      <c r="E291" s="47"/>
      <c r="F291" s="47"/>
      <c r="G291" s="49">
        <v>6822.6170000000011</v>
      </c>
      <c r="H291" s="49">
        <v>9067.5030000000006</v>
      </c>
      <c r="I291" s="49">
        <v>8820.1739999999991</v>
      </c>
      <c r="J291" s="49">
        <v>6045.0469999999987</v>
      </c>
      <c r="K291" s="49">
        <v>5060.7860000000001</v>
      </c>
      <c r="L291" s="49">
        <v>13386.753999999999</v>
      </c>
      <c r="M291" s="49">
        <v>5422.3110000000006</v>
      </c>
      <c r="N291" s="49">
        <v>8865.5539999999983</v>
      </c>
      <c r="O291" s="49">
        <f t="shared" si="151"/>
        <v>9224.8729999999996</v>
      </c>
      <c r="P291" s="49">
        <f t="shared" si="150"/>
        <v>9224.8729999999996</v>
      </c>
      <c r="Q291" s="49">
        <f t="shared" si="150"/>
        <v>9224.8729999999996</v>
      </c>
      <c r="R291" s="49">
        <f t="shared" si="150"/>
        <v>9224.8729999999996</v>
      </c>
      <c r="S291" s="49">
        <f t="shared" si="150"/>
        <v>9224.8729999999996</v>
      </c>
      <c r="T291" s="49">
        <f t="shared" si="150"/>
        <v>9224.8729999999996</v>
      </c>
      <c r="U291" s="49">
        <f t="shared" si="150"/>
        <v>9224.8729999999996</v>
      </c>
      <c r="V291" s="49">
        <f t="shared" si="150"/>
        <v>9224.8729999999996</v>
      </c>
      <c r="W291" s="49">
        <f t="shared" si="150"/>
        <v>9224.8729999999996</v>
      </c>
      <c r="X291" s="49">
        <f t="shared" si="150"/>
        <v>9224.8729999999996</v>
      </c>
      <c r="Y291" s="49">
        <f t="shared" si="150"/>
        <v>9224.8729999999996</v>
      </c>
      <c r="Z291" s="49">
        <f t="shared" si="150"/>
        <v>9224.8729999999996</v>
      </c>
      <c r="AA291" s="49">
        <f t="shared" si="150"/>
        <v>9224.8729999999996</v>
      </c>
    </row>
    <row r="292" spans="2:27" x14ac:dyDescent="0.3">
      <c r="B292" s="47" t="s">
        <v>131</v>
      </c>
      <c r="C292" s="110">
        <v>1958</v>
      </c>
      <c r="D292" s="426">
        <v>1.49</v>
      </c>
      <c r="E292" s="47"/>
      <c r="F292" s="47"/>
      <c r="G292" s="49">
        <v>5297.4830000000002</v>
      </c>
      <c r="H292" s="49">
        <v>6581.7929999999997</v>
      </c>
      <c r="I292" s="49">
        <v>6336.6400000000012</v>
      </c>
      <c r="J292" s="49">
        <v>4570.0379999999996</v>
      </c>
      <c r="K292" s="49">
        <v>3245.1849999999999</v>
      </c>
      <c r="L292" s="49">
        <v>6687.3670912745001</v>
      </c>
      <c r="M292" s="49">
        <v>2561.4390000000003</v>
      </c>
      <c r="N292" s="49">
        <v>4531.527000000001</v>
      </c>
      <c r="O292" s="49">
        <f t="shared" si="151"/>
        <v>4593.4443637581671</v>
      </c>
      <c r="P292" s="49">
        <f t="shared" si="150"/>
        <v>4593.4443637581671</v>
      </c>
      <c r="Q292" s="49">
        <f t="shared" si="150"/>
        <v>4593.4443637581671</v>
      </c>
      <c r="R292" s="49">
        <f t="shared" si="150"/>
        <v>4593.4443637581671</v>
      </c>
      <c r="S292" s="49">
        <f t="shared" si="150"/>
        <v>4593.4443637581671</v>
      </c>
      <c r="T292" s="49">
        <f t="shared" si="150"/>
        <v>4593.4443637581671</v>
      </c>
      <c r="U292" s="49">
        <f t="shared" si="150"/>
        <v>4593.4443637581671</v>
      </c>
      <c r="V292" s="49">
        <f t="shared" si="150"/>
        <v>4593.4443637581671</v>
      </c>
      <c r="W292" s="49">
        <f t="shared" si="150"/>
        <v>4593.4443637581671</v>
      </c>
      <c r="X292" s="49">
        <f t="shared" si="150"/>
        <v>4593.4443637581671</v>
      </c>
      <c r="Y292" s="49">
        <f t="shared" si="150"/>
        <v>4593.4443637581671</v>
      </c>
      <c r="Z292" s="49">
        <f t="shared" si="150"/>
        <v>4593.4443637581671</v>
      </c>
      <c r="AA292" s="49">
        <f t="shared" si="150"/>
        <v>4593.4443637581671</v>
      </c>
    </row>
    <row r="293" spans="2:27" x14ac:dyDescent="0.3">
      <c r="B293" s="47" t="s">
        <v>132</v>
      </c>
      <c r="C293" s="110">
        <v>1998</v>
      </c>
      <c r="D293" s="426">
        <v>14.3</v>
      </c>
      <c r="E293" s="47"/>
      <c r="F293" s="47"/>
      <c r="G293" s="49">
        <v>90321.68</v>
      </c>
      <c r="H293" s="49">
        <v>94885.142000000007</v>
      </c>
      <c r="I293" s="49">
        <v>92591.819999999992</v>
      </c>
      <c r="J293" s="49">
        <v>80968.934000000008</v>
      </c>
      <c r="K293" s="49">
        <v>71783.653000000006</v>
      </c>
      <c r="L293" s="49">
        <v>80462.043000000005</v>
      </c>
      <c r="M293" s="49">
        <v>75993.778999999995</v>
      </c>
      <c r="N293" s="49">
        <v>96164.228000000003</v>
      </c>
      <c r="O293" s="49">
        <f t="shared" si="151"/>
        <v>84206.683333333334</v>
      </c>
      <c r="P293" s="49">
        <f t="shared" si="150"/>
        <v>84206.683333333334</v>
      </c>
      <c r="Q293" s="49">
        <f t="shared" si="150"/>
        <v>84206.683333333334</v>
      </c>
      <c r="R293" s="49">
        <f t="shared" si="150"/>
        <v>84206.683333333334</v>
      </c>
      <c r="S293" s="49">
        <f t="shared" si="150"/>
        <v>84206.683333333334</v>
      </c>
      <c r="T293" s="49">
        <f t="shared" si="150"/>
        <v>84206.683333333334</v>
      </c>
      <c r="U293" s="49">
        <f t="shared" si="150"/>
        <v>84206.683333333334</v>
      </c>
      <c r="V293" s="49">
        <f t="shared" si="150"/>
        <v>84206.683333333334</v>
      </c>
      <c r="W293" s="49">
        <f t="shared" si="150"/>
        <v>84206.683333333334</v>
      </c>
      <c r="X293" s="49">
        <f t="shared" si="150"/>
        <v>84206.683333333334</v>
      </c>
      <c r="Y293" s="49">
        <f t="shared" si="150"/>
        <v>84206.683333333334</v>
      </c>
      <c r="Z293" s="49">
        <f t="shared" si="150"/>
        <v>84206.683333333334</v>
      </c>
      <c r="AA293" s="49">
        <f t="shared" si="150"/>
        <v>84206.683333333334</v>
      </c>
    </row>
    <row r="294" spans="2:27" x14ac:dyDescent="0.3">
      <c r="B294" s="57" t="s">
        <v>34</v>
      </c>
      <c r="C294" s="392"/>
      <c r="D294" s="57"/>
      <c r="E294" s="57"/>
      <c r="F294" s="57"/>
      <c r="G294" s="78"/>
      <c r="H294" s="78"/>
      <c r="I294" s="78"/>
      <c r="J294" s="78"/>
      <c r="K294" s="78"/>
      <c r="L294" s="78"/>
      <c r="M294" s="78"/>
      <c r="N294" s="78"/>
      <c r="O294" s="78"/>
      <c r="P294" s="78"/>
      <c r="Q294" s="78"/>
      <c r="R294" s="78"/>
      <c r="S294" s="78"/>
      <c r="T294" s="78"/>
      <c r="U294" s="78"/>
      <c r="V294" s="78"/>
      <c r="W294" s="78"/>
      <c r="X294" s="78"/>
      <c r="Y294" s="78"/>
      <c r="Z294" s="78"/>
      <c r="AA294" s="78"/>
    </row>
    <row r="295" spans="2:27" x14ac:dyDescent="0.3">
      <c r="B295" s="47" t="s">
        <v>138</v>
      </c>
      <c r="C295" s="110">
        <v>1969</v>
      </c>
      <c r="D295" s="426">
        <v>13.53</v>
      </c>
      <c r="E295" s="47"/>
      <c r="F295" s="47"/>
      <c r="G295" s="49">
        <v>79080.590999999986</v>
      </c>
      <c r="H295" s="49">
        <v>83215.97</v>
      </c>
      <c r="I295" s="49">
        <v>78452.136999999988</v>
      </c>
      <c r="J295" s="49">
        <v>86076.892000000022</v>
      </c>
      <c r="K295" s="49">
        <v>78528.325000000012</v>
      </c>
      <c r="L295" s="49">
        <v>81849.416999999987</v>
      </c>
      <c r="M295" s="49">
        <v>63047.572</v>
      </c>
      <c r="N295" s="49">
        <v>79535.85500000001</v>
      </c>
      <c r="O295" s="49">
        <f t="shared" si="151"/>
        <v>74810.948000000004</v>
      </c>
      <c r="P295" s="49">
        <f t="shared" ref="P295:AA296" si="152">+O295</f>
        <v>74810.948000000004</v>
      </c>
      <c r="Q295" s="49">
        <f t="shared" si="152"/>
        <v>74810.948000000004</v>
      </c>
      <c r="R295" s="49">
        <f t="shared" si="152"/>
        <v>74810.948000000004</v>
      </c>
      <c r="S295" s="49">
        <f t="shared" si="152"/>
        <v>74810.948000000004</v>
      </c>
      <c r="T295" s="49">
        <f t="shared" si="152"/>
        <v>74810.948000000004</v>
      </c>
      <c r="U295" s="49">
        <f t="shared" si="152"/>
        <v>74810.948000000004</v>
      </c>
      <c r="V295" s="49">
        <f t="shared" si="152"/>
        <v>74810.948000000004</v>
      </c>
      <c r="W295" s="49">
        <f t="shared" si="152"/>
        <v>74810.948000000004</v>
      </c>
      <c r="X295" s="49">
        <f t="shared" si="152"/>
        <v>74810.948000000004</v>
      </c>
      <c r="Y295" s="49">
        <f t="shared" si="152"/>
        <v>74810.948000000004</v>
      </c>
      <c r="Z295" s="49">
        <f t="shared" si="152"/>
        <v>74810.948000000004</v>
      </c>
      <c r="AA295" s="49">
        <f t="shared" si="152"/>
        <v>74810.948000000004</v>
      </c>
    </row>
    <row r="296" spans="2:27" x14ac:dyDescent="0.3">
      <c r="B296" s="47" t="s">
        <v>139</v>
      </c>
      <c r="C296" s="110">
        <v>1969</v>
      </c>
      <c r="D296" s="426">
        <v>12.32</v>
      </c>
      <c r="E296" s="47"/>
      <c r="F296" s="47"/>
      <c r="G296" s="49">
        <v>77042.933999999994</v>
      </c>
      <c r="H296" s="49">
        <v>78275.415999999997</v>
      </c>
      <c r="I296" s="49">
        <v>73415.542000000016</v>
      </c>
      <c r="J296" s="49">
        <v>79960.05799999999</v>
      </c>
      <c r="K296" s="49">
        <v>77429.541999999987</v>
      </c>
      <c r="L296" s="49">
        <v>80452.606</v>
      </c>
      <c r="M296" s="49">
        <v>61868.472999999998</v>
      </c>
      <c r="N296" s="49">
        <v>81530.162000000011</v>
      </c>
      <c r="O296" s="49">
        <f t="shared" si="151"/>
        <v>74617.080333333332</v>
      </c>
      <c r="P296" s="49">
        <f t="shared" si="152"/>
        <v>74617.080333333332</v>
      </c>
      <c r="Q296" s="49">
        <f t="shared" si="152"/>
        <v>74617.080333333332</v>
      </c>
      <c r="R296" s="49">
        <f t="shared" si="152"/>
        <v>74617.080333333332</v>
      </c>
      <c r="S296" s="49">
        <f t="shared" si="152"/>
        <v>74617.080333333332</v>
      </c>
      <c r="T296" s="49">
        <f t="shared" si="152"/>
        <v>74617.080333333332</v>
      </c>
      <c r="U296" s="49">
        <f t="shared" si="152"/>
        <v>74617.080333333332</v>
      </c>
      <c r="V296" s="49">
        <f t="shared" si="152"/>
        <v>74617.080333333332</v>
      </c>
      <c r="W296" s="49">
        <f t="shared" si="152"/>
        <v>74617.080333333332</v>
      </c>
      <c r="X296" s="49">
        <f t="shared" si="152"/>
        <v>74617.080333333332</v>
      </c>
      <c r="Y296" s="49">
        <f t="shared" si="152"/>
        <v>74617.080333333332</v>
      </c>
      <c r="Z296" s="49">
        <f t="shared" si="152"/>
        <v>74617.080333333332</v>
      </c>
      <c r="AA296" s="49">
        <f t="shared" si="152"/>
        <v>74617.080333333332</v>
      </c>
    </row>
    <row r="297" spans="2:27" x14ac:dyDescent="0.3">
      <c r="B297" s="57" t="s">
        <v>35</v>
      </c>
      <c r="C297" s="392"/>
      <c r="D297" s="57"/>
      <c r="E297" s="57"/>
      <c r="F297" s="57"/>
      <c r="G297" s="78"/>
      <c r="H297" s="78"/>
      <c r="I297" s="78"/>
      <c r="J297" s="78"/>
      <c r="K297" s="78"/>
      <c r="L297" s="78"/>
      <c r="M297" s="78"/>
      <c r="N297" s="78"/>
      <c r="O297" s="78"/>
      <c r="P297" s="78"/>
      <c r="Q297" s="78"/>
      <c r="R297" s="78"/>
      <c r="S297" s="78"/>
      <c r="T297" s="78"/>
      <c r="U297" s="78"/>
      <c r="V297" s="78"/>
      <c r="W297" s="78"/>
      <c r="X297" s="78"/>
      <c r="Y297" s="78"/>
      <c r="Z297" s="78"/>
      <c r="AA297" s="78"/>
    </row>
    <row r="298" spans="2:27" x14ac:dyDescent="0.3">
      <c r="B298" s="47" t="s">
        <v>158</v>
      </c>
      <c r="C298" s="110">
        <v>1999</v>
      </c>
      <c r="D298" s="426">
        <v>15.1</v>
      </c>
      <c r="E298" s="47"/>
      <c r="F298" s="47"/>
      <c r="G298" s="49">
        <v>95760.286999999982</v>
      </c>
      <c r="H298" s="49">
        <v>95144.05</v>
      </c>
      <c r="I298" s="49">
        <v>95119.72</v>
      </c>
      <c r="J298" s="49">
        <v>105447.58899999999</v>
      </c>
      <c r="K298" s="49">
        <v>99009.819000000003</v>
      </c>
      <c r="L298" s="49">
        <v>86632.661000000007</v>
      </c>
      <c r="M298" s="49">
        <v>79958.990999999995</v>
      </c>
      <c r="N298" s="49">
        <v>91011.156999999992</v>
      </c>
      <c r="O298" s="49">
        <f t="shared" si="151"/>
        <v>85867.603000000003</v>
      </c>
      <c r="P298" s="49">
        <f>+O298</f>
        <v>85867.603000000003</v>
      </c>
      <c r="Q298" s="49">
        <f t="shared" ref="Q298:AA305" si="153">+P298</f>
        <v>85867.603000000003</v>
      </c>
      <c r="R298" s="49">
        <f t="shared" si="153"/>
        <v>85867.603000000003</v>
      </c>
      <c r="S298" s="49">
        <f t="shared" si="153"/>
        <v>85867.603000000003</v>
      </c>
      <c r="T298" s="49">
        <f t="shared" si="153"/>
        <v>85867.603000000003</v>
      </c>
      <c r="U298" s="49">
        <f t="shared" si="153"/>
        <v>85867.603000000003</v>
      </c>
      <c r="V298" s="49">
        <f t="shared" si="153"/>
        <v>85867.603000000003</v>
      </c>
      <c r="W298" s="49">
        <f t="shared" si="153"/>
        <v>85867.603000000003</v>
      </c>
      <c r="X298" s="49">
        <f t="shared" si="153"/>
        <v>85867.603000000003</v>
      </c>
      <c r="Y298" s="49">
        <f t="shared" si="153"/>
        <v>85867.603000000003</v>
      </c>
      <c r="Z298" s="49">
        <f t="shared" si="153"/>
        <v>85867.603000000003</v>
      </c>
      <c r="AA298" s="49">
        <f t="shared" si="153"/>
        <v>85867.603000000003</v>
      </c>
    </row>
    <row r="299" spans="2:27" x14ac:dyDescent="0.3">
      <c r="B299" s="47" t="s">
        <v>159</v>
      </c>
      <c r="C299" s="110">
        <v>1999</v>
      </c>
      <c r="D299" s="426">
        <v>15.05</v>
      </c>
      <c r="E299" s="47"/>
      <c r="F299" s="47"/>
      <c r="G299" s="49">
        <v>93799.604999999996</v>
      </c>
      <c r="H299" s="49">
        <v>98539.03</v>
      </c>
      <c r="I299" s="49">
        <v>94138.09</v>
      </c>
      <c r="J299" s="49">
        <v>99492.22</v>
      </c>
      <c r="K299" s="49">
        <v>99241.433000000005</v>
      </c>
      <c r="L299" s="49">
        <v>93811.007999999987</v>
      </c>
      <c r="M299" s="49">
        <v>82387.252999999997</v>
      </c>
      <c r="N299" s="49">
        <v>99447.379000000015</v>
      </c>
      <c r="O299" s="49">
        <f t="shared" si="151"/>
        <v>91881.88</v>
      </c>
      <c r="P299" s="49">
        <f>+O299</f>
        <v>91881.88</v>
      </c>
      <c r="Q299" s="49">
        <f t="shared" si="153"/>
        <v>91881.88</v>
      </c>
      <c r="R299" s="49">
        <f t="shared" si="153"/>
        <v>91881.88</v>
      </c>
      <c r="S299" s="49">
        <f t="shared" si="153"/>
        <v>91881.88</v>
      </c>
      <c r="T299" s="49">
        <f t="shared" si="153"/>
        <v>91881.88</v>
      </c>
      <c r="U299" s="49">
        <f t="shared" si="153"/>
        <v>91881.88</v>
      </c>
      <c r="V299" s="49">
        <f t="shared" si="153"/>
        <v>91881.88</v>
      </c>
      <c r="W299" s="49">
        <f t="shared" si="153"/>
        <v>91881.88</v>
      </c>
      <c r="X299" s="49">
        <f t="shared" si="153"/>
        <v>91881.88</v>
      </c>
      <c r="Y299" s="49">
        <f t="shared" si="153"/>
        <v>91881.88</v>
      </c>
      <c r="Z299" s="49">
        <f t="shared" si="153"/>
        <v>91881.88</v>
      </c>
      <c r="AA299" s="49">
        <f t="shared" si="153"/>
        <v>91881.88</v>
      </c>
    </row>
    <row r="300" spans="2:27" x14ac:dyDescent="0.3">
      <c r="B300" s="57" t="s">
        <v>4</v>
      </c>
      <c r="C300" s="392"/>
      <c r="D300" s="57"/>
      <c r="E300" s="57"/>
      <c r="F300" s="57"/>
      <c r="G300" s="78"/>
      <c r="H300" s="78"/>
      <c r="I300" s="78"/>
      <c r="J300" s="78"/>
      <c r="K300" s="78"/>
      <c r="L300" s="78"/>
      <c r="M300" s="78"/>
      <c r="N300" s="78"/>
      <c r="O300" s="78"/>
      <c r="P300" s="78"/>
      <c r="Q300" s="78"/>
      <c r="R300" s="78"/>
      <c r="S300" s="78"/>
      <c r="T300" s="78"/>
      <c r="U300" s="78"/>
      <c r="V300" s="78"/>
      <c r="W300" s="78"/>
      <c r="X300" s="78"/>
      <c r="Y300" s="78"/>
      <c r="Z300" s="78"/>
      <c r="AA300" s="78"/>
    </row>
    <row r="301" spans="2:27" x14ac:dyDescent="0.3">
      <c r="B301" s="47" t="s">
        <v>151</v>
      </c>
      <c r="C301" s="110">
        <v>1999</v>
      </c>
      <c r="D301" s="426">
        <v>7.54</v>
      </c>
      <c r="E301" s="47"/>
      <c r="F301" s="47"/>
      <c r="G301" s="49">
        <v>14119.3</v>
      </c>
      <c r="H301" s="49">
        <v>19288.97</v>
      </c>
      <c r="I301" s="49">
        <v>20815.78</v>
      </c>
      <c r="J301" s="49">
        <v>16358.64</v>
      </c>
      <c r="K301" s="49">
        <v>19804.840000000004</v>
      </c>
      <c r="L301" s="49">
        <v>17612.39</v>
      </c>
      <c r="M301" s="49">
        <v>12031.66</v>
      </c>
      <c r="N301" s="49">
        <v>10963.130000000001</v>
      </c>
      <c r="O301" s="49">
        <f t="shared" ref="O301" si="154">+AVERAGE(L301:N301)</f>
        <v>13535.726666666667</v>
      </c>
      <c r="P301" s="49">
        <f>+O301</f>
        <v>13535.726666666667</v>
      </c>
      <c r="Q301" s="49">
        <f t="shared" si="153"/>
        <v>13535.726666666667</v>
      </c>
      <c r="R301" s="49">
        <f t="shared" si="153"/>
        <v>13535.726666666667</v>
      </c>
      <c r="S301" s="49">
        <f t="shared" si="153"/>
        <v>13535.726666666667</v>
      </c>
      <c r="T301" s="49">
        <f t="shared" si="153"/>
        <v>13535.726666666667</v>
      </c>
      <c r="U301" s="49">
        <f t="shared" si="153"/>
        <v>13535.726666666667</v>
      </c>
      <c r="V301" s="49">
        <f t="shared" si="153"/>
        <v>13535.726666666667</v>
      </c>
      <c r="W301" s="49">
        <f t="shared" si="153"/>
        <v>13535.726666666667</v>
      </c>
      <c r="X301" s="49">
        <f t="shared" si="153"/>
        <v>13535.726666666667</v>
      </c>
      <c r="Y301" s="49">
        <f t="shared" si="153"/>
        <v>13535.726666666667</v>
      </c>
      <c r="Z301" s="49">
        <f t="shared" si="153"/>
        <v>13535.726666666667</v>
      </c>
      <c r="AA301" s="49">
        <f t="shared" si="153"/>
        <v>13535.726666666667</v>
      </c>
    </row>
    <row r="302" spans="2:27" x14ac:dyDescent="0.3">
      <c r="B302" s="57" t="s">
        <v>36</v>
      </c>
      <c r="C302" s="392"/>
      <c r="D302" s="57"/>
      <c r="E302" s="57"/>
      <c r="F302" s="57"/>
      <c r="G302" s="78"/>
      <c r="H302" s="78"/>
      <c r="I302" s="78"/>
      <c r="J302" s="78"/>
      <c r="K302" s="78"/>
      <c r="L302" s="78"/>
      <c r="M302" s="78"/>
      <c r="N302" s="78"/>
      <c r="O302" s="78"/>
      <c r="P302" s="78"/>
      <c r="Q302" s="78"/>
      <c r="R302" s="78"/>
      <c r="S302" s="78"/>
      <c r="T302" s="78"/>
      <c r="U302" s="78"/>
      <c r="V302" s="78"/>
      <c r="W302" s="78"/>
      <c r="X302" s="78"/>
      <c r="Y302" s="78"/>
      <c r="Z302" s="78"/>
      <c r="AA302" s="78"/>
    </row>
    <row r="303" spans="2:27" x14ac:dyDescent="0.3">
      <c r="B303" s="47" t="s">
        <v>152</v>
      </c>
      <c r="C303" s="110" t="s">
        <v>475</v>
      </c>
      <c r="D303" s="426">
        <v>11.49</v>
      </c>
      <c r="E303" s="47"/>
      <c r="F303" s="47"/>
      <c r="G303" s="49">
        <v>40270.455000000002</v>
      </c>
      <c r="H303" s="49">
        <v>38528.400999999998</v>
      </c>
      <c r="I303" s="49">
        <v>41587.581999999995</v>
      </c>
      <c r="J303" s="49">
        <v>42148.481999999996</v>
      </c>
      <c r="K303" s="49">
        <v>45154.620999999999</v>
      </c>
      <c r="L303" s="49">
        <v>41357.006000000001</v>
      </c>
      <c r="M303" s="49">
        <v>32860.883000000002</v>
      </c>
      <c r="N303" s="49">
        <v>31306.786999999997</v>
      </c>
      <c r="O303" s="49">
        <f t="shared" ref="O303" si="155">+AVERAGE(L303:N303)</f>
        <v>35174.892</v>
      </c>
      <c r="P303" s="49">
        <f>+O303</f>
        <v>35174.892</v>
      </c>
      <c r="Q303" s="49">
        <f t="shared" si="153"/>
        <v>35174.892</v>
      </c>
      <c r="R303" s="49">
        <f t="shared" si="153"/>
        <v>35174.892</v>
      </c>
      <c r="S303" s="49">
        <f t="shared" si="153"/>
        <v>35174.892</v>
      </c>
      <c r="T303" s="49">
        <f t="shared" si="153"/>
        <v>35174.892</v>
      </c>
      <c r="U303" s="49">
        <f t="shared" si="153"/>
        <v>35174.892</v>
      </c>
      <c r="V303" s="49">
        <f t="shared" si="153"/>
        <v>35174.892</v>
      </c>
      <c r="W303" s="49">
        <f t="shared" si="153"/>
        <v>35174.892</v>
      </c>
      <c r="X303" s="49">
        <f t="shared" si="153"/>
        <v>35174.892</v>
      </c>
      <c r="Y303" s="49">
        <f t="shared" si="153"/>
        <v>35174.892</v>
      </c>
      <c r="Z303" s="49">
        <f t="shared" si="153"/>
        <v>35174.892</v>
      </c>
      <c r="AA303" s="49">
        <f t="shared" si="153"/>
        <v>35174.892</v>
      </c>
    </row>
    <row r="304" spans="2:27" x14ac:dyDescent="0.3">
      <c r="B304" s="57" t="s">
        <v>37</v>
      </c>
      <c r="C304" s="392"/>
      <c r="D304" s="57"/>
      <c r="E304" s="57"/>
      <c r="F304" s="57"/>
      <c r="G304" s="78"/>
      <c r="H304" s="78"/>
      <c r="I304" s="78"/>
      <c r="J304" s="78"/>
      <c r="K304" s="78"/>
      <c r="L304" s="78"/>
      <c r="M304" s="78"/>
      <c r="N304" s="78"/>
      <c r="O304" s="78"/>
      <c r="P304" s="78"/>
      <c r="Q304" s="78"/>
      <c r="R304" s="78"/>
      <c r="S304" s="78"/>
      <c r="T304" s="78"/>
      <c r="U304" s="78"/>
      <c r="V304" s="78"/>
      <c r="W304" s="78"/>
      <c r="X304" s="78"/>
      <c r="Y304" s="78"/>
      <c r="Z304" s="78"/>
      <c r="AA304" s="78"/>
    </row>
    <row r="305" spans="2:27" x14ac:dyDescent="0.3">
      <c r="B305" s="47" t="s">
        <v>153</v>
      </c>
      <c r="C305" s="110" t="s">
        <v>475</v>
      </c>
      <c r="D305" s="426">
        <v>5.15</v>
      </c>
      <c r="E305" s="47"/>
      <c r="F305" s="47"/>
      <c r="G305" s="49">
        <v>14596.415000000001</v>
      </c>
      <c r="H305" s="49">
        <v>17363.156999999999</v>
      </c>
      <c r="I305" s="49">
        <v>17535.357</v>
      </c>
      <c r="J305" s="49">
        <v>18995.719000000001</v>
      </c>
      <c r="K305" s="49">
        <v>22123.662000000004</v>
      </c>
      <c r="L305" s="49">
        <v>18022.292999999998</v>
      </c>
      <c r="M305" s="49">
        <v>14087.349</v>
      </c>
      <c r="N305" s="49">
        <v>14473.441999999999</v>
      </c>
      <c r="O305" s="49">
        <f t="shared" ref="O305" si="156">+AVERAGE(L305:N305)</f>
        <v>15527.694666666668</v>
      </c>
      <c r="P305" s="49">
        <f>+O305</f>
        <v>15527.694666666668</v>
      </c>
      <c r="Q305" s="49">
        <f t="shared" si="153"/>
        <v>15527.694666666668</v>
      </c>
      <c r="R305" s="49">
        <f t="shared" si="153"/>
        <v>15527.694666666668</v>
      </c>
      <c r="S305" s="49">
        <f t="shared" si="153"/>
        <v>15527.694666666668</v>
      </c>
      <c r="T305" s="49">
        <f t="shared" si="153"/>
        <v>15527.694666666668</v>
      </c>
      <c r="U305" s="49">
        <f t="shared" si="153"/>
        <v>15527.694666666668</v>
      </c>
      <c r="V305" s="49">
        <f t="shared" si="153"/>
        <v>15527.694666666668</v>
      </c>
      <c r="W305" s="49">
        <f t="shared" si="153"/>
        <v>15527.694666666668</v>
      </c>
      <c r="X305" s="49">
        <f t="shared" si="153"/>
        <v>15527.694666666668</v>
      </c>
      <c r="Y305" s="49">
        <f t="shared" si="153"/>
        <v>15527.694666666668</v>
      </c>
      <c r="Z305" s="49">
        <f t="shared" si="153"/>
        <v>15527.694666666668</v>
      </c>
      <c r="AA305" s="49">
        <f t="shared" si="153"/>
        <v>15527.694666666668</v>
      </c>
    </row>
    <row r="306" spans="2:27" x14ac:dyDescent="0.3">
      <c r="B306" s="57" t="s">
        <v>38</v>
      </c>
      <c r="C306" s="392"/>
      <c r="D306" s="57"/>
      <c r="E306" s="57"/>
      <c r="F306" s="57"/>
      <c r="G306" s="78"/>
      <c r="H306" s="78"/>
      <c r="I306" s="78"/>
      <c r="J306" s="78"/>
      <c r="K306" s="78"/>
      <c r="L306" s="78"/>
      <c r="M306" s="78"/>
      <c r="N306" s="78"/>
      <c r="O306" s="78"/>
      <c r="P306" s="78"/>
      <c r="Q306" s="78"/>
      <c r="R306" s="78"/>
      <c r="S306" s="78"/>
      <c r="T306" s="78"/>
      <c r="U306" s="78"/>
      <c r="V306" s="78"/>
      <c r="W306" s="78"/>
      <c r="X306" s="78"/>
      <c r="Y306" s="78"/>
      <c r="Z306" s="78"/>
      <c r="AA306" s="78"/>
    </row>
    <row r="307" spans="2:27" x14ac:dyDescent="0.3">
      <c r="B307" s="47" t="s">
        <v>140</v>
      </c>
      <c r="C307" s="110">
        <v>1931</v>
      </c>
      <c r="D307" s="426">
        <v>1.31</v>
      </c>
      <c r="E307" s="47"/>
      <c r="F307" s="47"/>
      <c r="G307" s="49">
        <v>4114</v>
      </c>
      <c r="H307" s="49">
        <v>4554.1049999999996</v>
      </c>
      <c r="I307" s="49">
        <v>4812.643</v>
      </c>
      <c r="J307" s="49">
        <v>4552.4240000000009</v>
      </c>
      <c r="K307" s="49">
        <v>4384.4089999999997</v>
      </c>
      <c r="L307" s="49">
        <v>4376.9049999999997</v>
      </c>
      <c r="M307" s="49">
        <v>3466.1080000000002</v>
      </c>
      <c r="N307" s="49">
        <v>4191.5759999999991</v>
      </c>
      <c r="O307" s="49">
        <f t="shared" ref="O307:O308" si="157">+AVERAGE(L307:N307)</f>
        <v>4011.5296666666668</v>
      </c>
      <c r="P307" s="49">
        <f t="shared" ref="P307:AA308" si="158">+O307</f>
        <v>4011.5296666666668</v>
      </c>
      <c r="Q307" s="49">
        <f t="shared" si="158"/>
        <v>4011.5296666666668</v>
      </c>
      <c r="R307" s="49">
        <f t="shared" si="158"/>
        <v>4011.5296666666668</v>
      </c>
      <c r="S307" s="49">
        <f t="shared" si="158"/>
        <v>4011.5296666666668</v>
      </c>
      <c r="T307" s="49">
        <f t="shared" si="158"/>
        <v>4011.5296666666668</v>
      </c>
      <c r="U307" s="49">
        <f t="shared" si="158"/>
        <v>4011.5296666666668</v>
      </c>
      <c r="V307" s="49">
        <f t="shared" si="158"/>
        <v>4011.5296666666668</v>
      </c>
      <c r="W307" s="49">
        <f t="shared" si="158"/>
        <v>4011.5296666666668</v>
      </c>
      <c r="X307" s="49">
        <f t="shared" si="158"/>
        <v>4011.5296666666668</v>
      </c>
      <c r="Y307" s="49">
        <f t="shared" si="158"/>
        <v>4011.5296666666668</v>
      </c>
      <c r="Z307" s="49">
        <f t="shared" si="158"/>
        <v>4011.5296666666668</v>
      </c>
      <c r="AA307" s="49">
        <f t="shared" si="158"/>
        <v>4011.5296666666668</v>
      </c>
    </row>
    <row r="308" spans="2:27" x14ac:dyDescent="0.3">
      <c r="B308" s="47" t="s">
        <v>141</v>
      </c>
      <c r="C308" s="110">
        <v>1931</v>
      </c>
      <c r="D308" s="426">
        <v>1.24</v>
      </c>
      <c r="E308" s="47"/>
      <c r="F308" s="47"/>
      <c r="G308" s="49">
        <v>4195</v>
      </c>
      <c r="H308" s="49">
        <v>4563.4110000000001</v>
      </c>
      <c r="I308" s="49">
        <v>4781.6249999999973</v>
      </c>
      <c r="J308" s="49">
        <v>4698.2270000000008</v>
      </c>
      <c r="K308" s="49">
        <v>4197.7930000000006</v>
      </c>
      <c r="L308" s="49">
        <v>4145.2669999999998</v>
      </c>
      <c r="M308" s="49">
        <v>3329.4500000000003</v>
      </c>
      <c r="N308" s="49">
        <v>4038.616</v>
      </c>
      <c r="O308" s="49">
        <f t="shared" si="157"/>
        <v>3837.7776666666668</v>
      </c>
      <c r="P308" s="49">
        <f t="shared" si="158"/>
        <v>3837.7776666666668</v>
      </c>
      <c r="Q308" s="49">
        <f t="shared" si="158"/>
        <v>3837.7776666666668</v>
      </c>
      <c r="R308" s="49">
        <f t="shared" si="158"/>
        <v>3837.7776666666668</v>
      </c>
      <c r="S308" s="49">
        <f t="shared" si="158"/>
        <v>3837.7776666666668</v>
      </c>
      <c r="T308" s="49">
        <f t="shared" si="158"/>
        <v>3837.7776666666668</v>
      </c>
      <c r="U308" s="49">
        <f t="shared" si="158"/>
        <v>3837.7776666666668</v>
      </c>
      <c r="V308" s="49">
        <f t="shared" si="158"/>
        <v>3837.7776666666668</v>
      </c>
      <c r="W308" s="49">
        <f t="shared" si="158"/>
        <v>3837.7776666666668</v>
      </c>
      <c r="X308" s="49">
        <f t="shared" si="158"/>
        <v>3837.7776666666668</v>
      </c>
      <c r="Y308" s="49">
        <f t="shared" si="158"/>
        <v>3837.7776666666668</v>
      </c>
      <c r="Z308" s="49">
        <f t="shared" si="158"/>
        <v>3837.7776666666668</v>
      </c>
      <c r="AA308" s="49">
        <f t="shared" si="158"/>
        <v>3837.7776666666668</v>
      </c>
    </row>
    <row r="309" spans="2:27" x14ac:dyDescent="0.3">
      <c r="B309" s="57" t="s">
        <v>7</v>
      </c>
      <c r="C309" s="392"/>
      <c r="D309" s="57"/>
      <c r="E309" s="57"/>
      <c r="F309" s="57"/>
      <c r="G309" s="78"/>
      <c r="H309" s="78"/>
      <c r="I309" s="78"/>
      <c r="J309" s="78"/>
      <c r="K309" s="78"/>
      <c r="L309" s="78"/>
      <c r="M309" s="78"/>
      <c r="N309" s="78"/>
      <c r="O309" s="78"/>
      <c r="P309" s="78"/>
      <c r="Q309" s="78"/>
      <c r="R309" s="78"/>
      <c r="S309" s="78"/>
      <c r="T309" s="78"/>
      <c r="U309" s="78"/>
      <c r="V309" s="78"/>
      <c r="W309" s="78"/>
      <c r="X309" s="78"/>
      <c r="Y309" s="78"/>
      <c r="Z309" s="78"/>
      <c r="AA309" s="78"/>
    </row>
    <row r="310" spans="2:27" x14ac:dyDescent="0.3">
      <c r="B310" s="47" t="s">
        <v>342</v>
      </c>
      <c r="C310" s="110">
        <v>2017</v>
      </c>
      <c r="D310" s="426">
        <v>120</v>
      </c>
      <c r="E310" s="110">
        <v>0.5</v>
      </c>
      <c r="F310" s="47"/>
      <c r="G310" s="49">
        <v>0</v>
      </c>
      <c r="H310" s="49">
        <v>0</v>
      </c>
      <c r="I310" s="49">
        <v>0</v>
      </c>
      <c r="J310" s="49">
        <v>0</v>
      </c>
      <c r="K310" s="49">
        <v>0</v>
      </c>
      <c r="L310" s="49">
        <v>0</v>
      </c>
      <c r="M310" s="49">
        <v>0</v>
      </c>
      <c r="N310" s="49">
        <v>11172.225999999999</v>
      </c>
      <c r="O310" s="49">
        <f>+$D$310*8760*E310</f>
        <v>525600</v>
      </c>
      <c r="P310" s="49">
        <f>+O310</f>
        <v>525600</v>
      </c>
      <c r="Q310" s="49">
        <f t="shared" ref="Q310:AA310" si="159">+P310</f>
        <v>525600</v>
      </c>
      <c r="R310" s="49">
        <f t="shared" si="159"/>
        <v>525600</v>
      </c>
      <c r="S310" s="49">
        <f t="shared" si="159"/>
        <v>525600</v>
      </c>
      <c r="T310" s="49">
        <f t="shared" si="159"/>
        <v>525600</v>
      </c>
      <c r="U310" s="49">
        <f t="shared" si="159"/>
        <v>525600</v>
      </c>
      <c r="V310" s="49">
        <f t="shared" si="159"/>
        <v>525600</v>
      </c>
      <c r="W310" s="49">
        <f t="shared" si="159"/>
        <v>525600</v>
      </c>
      <c r="X310" s="49">
        <f t="shared" si="159"/>
        <v>525600</v>
      </c>
      <c r="Y310" s="49">
        <f t="shared" si="159"/>
        <v>525600</v>
      </c>
      <c r="Z310" s="49">
        <f t="shared" si="159"/>
        <v>525600</v>
      </c>
      <c r="AA310" s="49">
        <f t="shared" si="159"/>
        <v>525600</v>
      </c>
    </row>
    <row r="311" spans="2:27" x14ac:dyDescent="0.3">
      <c r="B311" s="57" t="s">
        <v>39</v>
      </c>
      <c r="C311" s="392"/>
      <c r="D311" s="57"/>
      <c r="E311" s="57"/>
      <c r="F311" s="57"/>
      <c r="G311" s="78"/>
      <c r="H311" s="78"/>
      <c r="I311" s="78"/>
      <c r="J311" s="78"/>
      <c r="K311" s="78"/>
      <c r="L311" s="78"/>
      <c r="M311" s="78"/>
      <c r="N311" s="78"/>
      <c r="O311" s="78"/>
      <c r="P311" s="78"/>
      <c r="Q311" s="78"/>
      <c r="R311" s="78"/>
      <c r="S311" s="78"/>
      <c r="T311" s="78"/>
      <c r="U311" s="78"/>
      <c r="V311" s="78"/>
      <c r="W311" s="78"/>
      <c r="X311" s="78"/>
      <c r="Y311" s="78"/>
      <c r="Z311" s="78"/>
      <c r="AA311" s="78"/>
    </row>
    <row r="312" spans="2:27" x14ac:dyDescent="0.3">
      <c r="B312" s="47" t="s">
        <v>154</v>
      </c>
      <c r="C312" s="110">
        <v>1962</v>
      </c>
      <c r="D312" s="426">
        <v>2.4</v>
      </c>
      <c r="E312" s="47"/>
      <c r="F312" s="47"/>
      <c r="G312" s="49">
        <v>16964.522000000001</v>
      </c>
      <c r="H312" s="49">
        <v>17331.444</v>
      </c>
      <c r="I312" s="49">
        <v>18585.001000000004</v>
      </c>
      <c r="J312" s="49">
        <v>16688.195999999996</v>
      </c>
      <c r="K312" s="49">
        <v>17786.664000000001</v>
      </c>
      <c r="L312" s="49">
        <v>18207.585999999999</v>
      </c>
      <c r="M312" s="49">
        <v>16078.901000000002</v>
      </c>
      <c r="N312" s="49">
        <v>15005.555</v>
      </c>
      <c r="O312" s="49">
        <f t="shared" ref="O312" si="160">+AVERAGE(L312:N312)</f>
        <v>16430.680666666667</v>
      </c>
      <c r="P312" s="49">
        <f>+O312</f>
        <v>16430.680666666667</v>
      </c>
      <c r="Q312" s="49">
        <f t="shared" ref="Q312:AA312" si="161">+P312</f>
        <v>16430.680666666667</v>
      </c>
      <c r="R312" s="49">
        <f t="shared" si="161"/>
        <v>16430.680666666667</v>
      </c>
      <c r="S312" s="49">
        <f t="shared" si="161"/>
        <v>16430.680666666667</v>
      </c>
      <c r="T312" s="49">
        <f t="shared" si="161"/>
        <v>16430.680666666667</v>
      </c>
      <c r="U312" s="49">
        <f t="shared" si="161"/>
        <v>16430.680666666667</v>
      </c>
      <c r="V312" s="49">
        <f t="shared" si="161"/>
        <v>16430.680666666667</v>
      </c>
      <c r="W312" s="49">
        <f t="shared" si="161"/>
        <v>16430.680666666667</v>
      </c>
      <c r="X312" s="49">
        <f t="shared" si="161"/>
        <v>16430.680666666667</v>
      </c>
      <c r="Y312" s="49">
        <f t="shared" si="161"/>
        <v>16430.680666666667</v>
      </c>
      <c r="Z312" s="49">
        <f t="shared" si="161"/>
        <v>16430.680666666667</v>
      </c>
      <c r="AA312" s="49">
        <f t="shared" si="161"/>
        <v>16430.680666666667</v>
      </c>
    </row>
    <row r="313" spans="2:27" x14ac:dyDescent="0.3">
      <c r="B313" s="57" t="s">
        <v>5</v>
      </c>
      <c r="C313" s="392"/>
      <c r="D313" s="432"/>
      <c r="E313" s="57"/>
      <c r="F313" s="57"/>
      <c r="G313" s="78"/>
      <c r="H313" s="78"/>
      <c r="I313" s="78"/>
      <c r="J313" s="78"/>
      <c r="K313" s="78"/>
      <c r="L313" s="78"/>
      <c r="M313" s="78"/>
      <c r="N313" s="78"/>
      <c r="O313" s="78"/>
      <c r="P313" s="78"/>
      <c r="Q313" s="78"/>
      <c r="R313" s="78"/>
      <c r="S313" s="78"/>
      <c r="T313" s="78"/>
      <c r="U313" s="78"/>
      <c r="V313" s="78"/>
      <c r="W313" s="78"/>
      <c r="X313" s="78"/>
      <c r="Y313" s="78"/>
      <c r="Z313" s="78"/>
      <c r="AA313" s="78"/>
    </row>
    <row r="314" spans="2:27" x14ac:dyDescent="0.3">
      <c r="B314" s="47" t="s">
        <v>338</v>
      </c>
      <c r="C314" s="110">
        <v>2007</v>
      </c>
      <c r="D314" s="426">
        <v>0.97899999999999998</v>
      </c>
      <c r="E314" s="47"/>
      <c r="F314" s="47"/>
      <c r="G314" s="49">
        <v>3310.3999999999996</v>
      </c>
      <c r="H314" s="49">
        <v>4002.56</v>
      </c>
      <c r="I314" s="49">
        <v>6492.8999999999987</v>
      </c>
      <c r="J314" s="49">
        <v>7388.4</v>
      </c>
      <c r="K314" s="49">
        <v>7175.8399999999992</v>
      </c>
      <c r="L314" s="49">
        <v>8301.2000000000007</v>
      </c>
      <c r="M314" s="49">
        <v>2307.6</v>
      </c>
      <c r="N314" s="49">
        <v>3547</v>
      </c>
      <c r="O314" s="49">
        <f t="shared" ref="O314:O315" si="162">+AVERAGE(L314:N314)</f>
        <v>4718.6000000000004</v>
      </c>
      <c r="P314" s="49">
        <f t="shared" ref="P314:AA315" si="163">+O314</f>
        <v>4718.6000000000004</v>
      </c>
      <c r="Q314" s="49">
        <f t="shared" si="163"/>
        <v>4718.6000000000004</v>
      </c>
      <c r="R314" s="49">
        <f t="shared" si="163"/>
        <v>4718.6000000000004</v>
      </c>
      <c r="S314" s="49">
        <f t="shared" si="163"/>
        <v>4718.6000000000004</v>
      </c>
      <c r="T314" s="49">
        <f t="shared" si="163"/>
        <v>4718.6000000000004</v>
      </c>
      <c r="U314" s="49">
        <f t="shared" si="163"/>
        <v>4718.6000000000004</v>
      </c>
      <c r="V314" s="49">
        <f t="shared" si="163"/>
        <v>4718.6000000000004</v>
      </c>
      <c r="W314" s="49">
        <f t="shared" si="163"/>
        <v>4718.6000000000004</v>
      </c>
      <c r="X314" s="49">
        <f t="shared" si="163"/>
        <v>4718.6000000000004</v>
      </c>
      <c r="Y314" s="49">
        <f t="shared" si="163"/>
        <v>4718.6000000000004</v>
      </c>
      <c r="Z314" s="49">
        <f t="shared" si="163"/>
        <v>4718.6000000000004</v>
      </c>
      <c r="AA314" s="49">
        <f t="shared" si="163"/>
        <v>4718.6000000000004</v>
      </c>
    </row>
    <row r="315" spans="2:27" x14ac:dyDescent="0.3">
      <c r="B315" s="47" t="s">
        <v>339</v>
      </c>
      <c r="C315" s="110">
        <v>2007</v>
      </c>
      <c r="D315" s="426">
        <v>0.99299999999999999</v>
      </c>
      <c r="E315" s="47"/>
      <c r="F315" s="47"/>
      <c r="G315" s="49"/>
      <c r="H315" s="49"/>
      <c r="I315" s="49"/>
      <c r="J315" s="49"/>
      <c r="K315" s="49"/>
      <c r="L315" s="49"/>
      <c r="M315" s="49">
        <v>2352.1</v>
      </c>
      <c r="N315" s="49">
        <v>3707.2000000000003</v>
      </c>
      <c r="O315" s="49">
        <f t="shared" si="162"/>
        <v>3029.65</v>
      </c>
      <c r="P315" s="49">
        <f t="shared" si="163"/>
        <v>3029.65</v>
      </c>
      <c r="Q315" s="49">
        <f t="shared" si="163"/>
        <v>3029.65</v>
      </c>
      <c r="R315" s="49">
        <f t="shared" si="163"/>
        <v>3029.65</v>
      </c>
      <c r="S315" s="49">
        <f t="shared" si="163"/>
        <v>3029.65</v>
      </c>
      <c r="T315" s="49">
        <f t="shared" si="163"/>
        <v>3029.65</v>
      </c>
      <c r="U315" s="49">
        <f t="shared" si="163"/>
        <v>3029.65</v>
      </c>
      <c r="V315" s="49">
        <f t="shared" si="163"/>
        <v>3029.65</v>
      </c>
      <c r="W315" s="49">
        <f t="shared" si="163"/>
        <v>3029.65</v>
      </c>
      <c r="X315" s="49">
        <f t="shared" si="163"/>
        <v>3029.65</v>
      </c>
      <c r="Y315" s="49">
        <f t="shared" si="163"/>
        <v>3029.65</v>
      </c>
      <c r="Z315" s="49">
        <f t="shared" si="163"/>
        <v>3029.65</v>
      </c>
      <c r="AA315" s="49">
        <f t="shared" si="163"/>
        <v>3029.65</v>
      </c>
    </row>
    <row r="316" spans="2:27" x14ac:dyDescent="0.3">
      <c r="B316" s="57" t="s">
        <v>40</v>
      </c>
      <c r="C316" s="392"/>
      <c r="D316" s="432"/>
      <c r="E316" s="57"/>
      <c r="F316" s="57"/>
      <c r="G316" s="78"/>
      <c r="H316" s="78"/>
      <c r="I316" s="78"/>
      <c r="J316" s="78"/>
      <c r="K316" s="78"/>
      <c r="L316" s="78"/>
      <c r="M316" s="78"/>
      <c r="N316" s="78"/>
      <c r="O316" s="78"/>
      <c r="P316" s="78"/>
      <c r="Q316" s="78"/>
      <c r="R316" s="78"/>
      <c r="S316" s="78"/>
      <c r="T316" s="78"/>
      <c r="U316" s="78"/>
      <c r="V316" s="78"/>
      <c r="W316" s="78"/>
      <c r="X316" s="78"/>
      <c r="Y316" s="78"/>
      <c r="Z316" s="78"/>
      <c r="AA316" s="78"/>
    </row>
    <row r="317" spans="2:27" x14ac:dyDescent="0.3">
      <c r="B317" s="47" t="s">
        <v>135</v>
      </c>
      <c r="C317" s="110">
        <v>1956</v>
      </c>
      <c r="D317" s="426">
        <v>10.5</v>
      </c>
      <c r="E317" s="47"/>
      <c r="F317" s="47"/>
      <c r="G317" s="49">
        <v>66898.476999999999</v>
      </c>
      <c r="H317" s="49">
        <v>71701.509999999995</v>
      </c>
      <c r="I317" s="49">
        <v>68123.947000000015</v>
      </c>
      <c r="J317" s="49">
        <v>70554.083999999988</v>
      </c>
      <c r="K317" s="49">
        <v>15429.729000000001</v>
      </c>
      <c r="L317" s="49">
        <v>23543.032999999996</v>
      </c>
      <c r="M317" s="49">
        <v>53982.859000000004</v>
      </c>
      <c r="N317" s="49">
        <v>69211.264999999999</v>
      </c>
      <c r="O317" s="49">
        <f t="shared" ref="O317" si="164">+AVERAGE(L317:N317)</f>
        <v>48912.385666666669</v>
      </c>
      <c r="P317" s="49">
        <f>+O317</f>
        <v>48912.385666666669</v>
      </c>
      <c r="Q317" s="49">
        <f t="shared" ref="Q317:AA317" si="165">+P317</f>
        <v>48912.385666666669</v>
      </c>
      <c r="R317" s="49">
        <f t="shared" si="165"/>
        <v>48912.385666666669</v>
      </c>
      <c r="S317" s="49">
        <f t="shared" si="165"/>
        <v>48912.385666666669</v>
      </c>
      <c r="T317" s="49">
        <f t="shared" si="165"/>
        <v>48912.385666666669</v>
      </c>
      <c r="U317" s="49">
        <f t="shared" si="165"/>
        <v>48912.385666666669</v>
      </c>
      <c r="V317" s="49">
        <f t="shared" si="165"/>
        <v>48912.385666666669</v>
      </c>
      <c r="W317" s="49">
        <f t="shared" si="165"/>
        <v>48912.385666666669</v>
      </c>
      <c r="X317" s="49">
        <f t="shared" si="165"/>
        <v>48912.385666666669</v>
      </c>
      <c r="Y317" s="49">
        <f t="shared" si="165"/>
        <v>48912.385666666669</v>
      </c>
      <c r="Z317" s="49">
        <f t="shared" si="165"/>
        <v>48912.385666666669</v>
      </c>
      <c r="AA317" s="49">
        <f t="shared" si="165"/>
        <v>48912.385666666669</v>
      </c>
    </row>
    <row r="318" spans="2:27" x14ac:dyDescent="0.3">
      <c r="B318" s="57" t="s">
        <v>6</v>
      </c>
      <c r="C318" s="392"/>
      <c r="D318" s="432"/>
      <c r="E318" s="57"/>
      <c r="F318" s="57"/>
      <c r="G318" s="78"/>
      <c r="H318" s="78"/>
      <c r="I318" s="78"/>
      <c r="J318" s="78"/>
      <c r="K318" s="78"/>
      <c r="L318" s="78"/>
      <c r="M318" s="78"/>
      <c r="N318" s="78"/>
      <c r="O318" s="78"/>
      <c r="P318" s="78"/>
      <c r="Q318" s="78"/>
      <c r="R318" s="78"/>
      <c r="S318" s="78"/>
      <c r="T318" s="78"/>
      <c r="U318" s="78"/>
      <c r="V318" s="78"/>
      <c r="W318" s="78"/>
      <c r="X318" s="78"/>
      <c r="Y318" s="78"/>
      <c r="Z318" s="78"/>
      <c r="AA318" s="78"/>
    </row>
    <row r="319" spans="2:27" x14ac:dyDescent="0.3">
      <c r="B319" s="47" t="s">
        <v>331</v>
      </c>
      <c r="C319" s="110">
        <v>2015</v>
      </c>
      <c r="D319" s="426">
        <v>3.8</v>
      </c>
      <c r="E319" s="47"/>
      <c r="F319" s="47"/>
      <c r="G319" s="49">
        <v>0</v>
      </c>
      <c r="H319" s="49">
        <v>0</v>
      </c>
      <c r="I319" s="49">
        <v>0</v>
      </c>
      <c r="J319" s="49">
        <v>0</v>
      </c>
      <c r="K319" s="49">
        <v>0</v>
      </c>
      <c r="L319" s="49">
        <v>2118.4740000000002</v>
      </c>
      <c r="M319" s="49">
        <v>5921.3628000000017</v>
      </c>
      <c r="N319" s="49">
        <v>9940.8974000000035</v>
      </c>
      <c r="O319" s="49">
        <f t="shared" ref="O319:O320" si="166">+AVERAGE(L319:N319)</f>
        <v>5993.5780666666687</v>
      </c>
      <c r="P319" s="49">
        <f t="shared" ref="P319:AA320" si="167">+O319</f>
        <v>5993.5780666666687</v>
      </c>
      <c r="Q319" s="49">
        <f t="shared" si="167"/>
        <v>5993.5780666666687</v>
      </c>
      <c r="R319" s="49">
        <f t="shared" si="167"/>
        <v>5993.5780666666687</v>
      </c>
      <c r="S319" s="49">
        <f t="shared" si="167"/>
        <v>5993.5780666666687</v>
      </c>
      <c r="T319" s="49">
        <f t="shared" si="167"/>
        <v>5993.5780666666687</v>
      </c>
      <c r="U319" s="49">
        <f t="shared" si="167"/>
        <v>5993.5780666666687</v>
      </c>
      <c r="V319" s="49">
        <f t="shared" si="167"/>
        <v>5993.5780666666687</v>
      </c>
      <c r="W319" s="49">
        <f t="shared" si="167"/>
        <v>5993.5780666666687</v>
      </c>
      <c r="X319" s="49">
        <f t="shared" si="167"/>
        <v>5993.5780666666687</v>
      </c>
      <c r="Y319" s="49">
        <f t="shared" si="167"/>
        <v>5993.5780666666687</v>
      </c>
      <c r="Z319" s="49">
        <f t="shared" si="167"/>
        <v>5993.5780666666687</v>
      </c>
      <c r="AA319" s="49">
        <f t="shared" si="167"/>
        <v>5993.5780666666687</v>
      </c>
    </row>
    <row r="320" spans="2:27" x14ac:dyDescent="0.3">
      <c r="B320" s="47" t="s">
        <v>332</v>
      </c>
      <c r="C320" s="110">
        <v>2015</v>
      </c>
      <c r="D320" s="426">
        <v>3.8</v>
      </c>
      <c r="E320" s="47"/>
      <c r="F320" s="47"/>
      <c r="G320" s="49">
        <v>0</v>
      </c>
      <c r="H320" s="49">
        <v>0</v>
      </c>
      <c r="I320" s="49">
        <v>0</v>
      </c>
      <c r="J320" s="49">
        <v>0</v>
      </c>
      <c r="K320" s="49">
        <v>0</v>
      </c>
      <c r="L320" s="49">
        <v>1880.5391999999999</v>
      </c>
      <c r="M320" s="49">
        <v>6106.0889999999999</v>
      </c>
      <c r="N320" s="49">
        <v>10262.133000000002</v>
      </c>
      <c r="O320" s="49">
        <f t="shared" si="166"/>
        <v>6082.9204</v>
      </c>
      <c r="P320" s="49">
        <f t="shared" si="167"/>
        <v>6082.9204</v>
      </c>
      <c r="Q320" s="49">
        <f t="shared" si="167"/>
        <v>6082.9204</v>
      </c>
      <c r="R320" s="49">
        <f t="shared" si="167"/>
        <v>6082.9204</v>
      </c>
      <c r="S320" s="49">
        <f t="shared" si="167"/>
        <v>6082.9204</v>
      </c>
      <c r="T320" s="49">
        <f t="shared" si="167"/>
        <v>6082.9204</v>
      </c>
      <c r="U320" s="49">
        <f t="shared" si="167"/>
        <v>6082.9204</v>
      </c>
      <c r="V320" s="49">
        <f t="shared" si="167"/>
        <v>6082.9204</v>
      </c>
      <c r="W320" s="49">
        <f t="shared" si="167"/>
        <v>6082.9204</v>
      </c>
      <c r="X320" s="49">
        <f t="shared" si="167"/>
        <v>6082.9204</v>
      </c>
      <c r="Y320" s="49">
        <f t="shared" si="167"/>
        <v>6082.9204</v>
      </c>
      <c r="Z320" s="49">
        <f t="shared" si="167"/>
        <v>6082.9204</v>
      </c>
      <c r="AA320" s="49">
        <f t="shared" si="167"/>
        <v>6082.9204</v>
      </c>
    </row>
    <row r="321" spans="2:27" x14ac:dyDescent="0.3">
      <c r="B321" s="57" t="s">
        <v>2</v>
      </c>
      <c r="C321" s="392"/>
      <c r="D321" s="427"/>
      <c r="E321" s="57"/>
      <c r="F321" s="57"/>
      <c r="G321" s="78"/>
      <c r="H321" s="78"/>
      <c r="I321" s="78"/>
      <c r="J321" s="78"/>
      <c r="K321" s="78"/>
      <c r="L321" s="78"/>
      <c r="M321" s="78"/>
      <c r="N321" s="78"/>
      <c r="O321" s="78"/>
      <c r="P321" s="78"/>
      <c r="Q321" s="78"/>
      <c r="R321" s="78"/>
      <c r="S321" s="78"/>
      <c r="T321" s="78"/>
      <c r="U321" s="78"/>
      <c r="V321" s="78"/>
      <c r="W321" s="78"/>
      <c r="X321" s="78"/>
      <c r="Y321" s="78"/>
      <c r="Z321" s="78"/>
      <c r="AA321" s="78"/>
    </row>
    <row r="322" spans="2:27" x14ac:dyDescent="0.3">
      <c r="B322" s="47" t="s">
        <v>122</v>
      </c>
      <c r="C322" s="110" t="s">
        <v>476</v>
      </c>
      <c r="D322" s="426">
        <v>91.105000000000004</v>
      </c>
      <c r="E322" s="47"/>
      <c r="F322" s="47"/>
      <c r="G322" s="49">
        <v>418380.17099999997</v>
      </c>
      <c r="H322" s="49">
        <v>477614.6</v>
      </c>
      <c r="I322" s="49">
        <v>485267.32000000007</v>
      </c>
      <c r="J322" s="49">
        <v>555713.26</v>
      </c>
      <c r="K322" s="49">
        <v>552076.43999999994</v>
      </c>
      <c r="L322" s="49">
        <v>560551.92799999996</v>
      </c>
      <c r="M322" s="49">
        <v>330698.88400000002</v>
      </c>
      <c r="N322" s="49">
        <v>431404.26799999998</v>
      </c>
      <c r="O322" s="49">
        <f t="shared" ref="O322" si="168">+AVERAGE(L322:N322)</f>
        <v>440885.02666666661</v>
      </c>
      <c r="P322" s="49">
        <f>+O322</f>
        <v>440885.02666666661</v>
      </c>
      <c r="Q322" s="49">
        <f t="shared" ref="Q322:AA322" si="169">+P322</f>
        <v>440885.02666666661</v>
      </c>
      <c r="R322" s="49">
        <f t="shared" si="169"/>
        <v>440885.02666666661</v>
      </c>
      <c r="S322" s="49">
        <f t="shared" si="169"/>
        <v>440885.02666666661</v>
      </c>
      <c r="T322" s="49">
        <f t="shared" si="169"/>
        <v>440885.02666666661</v>
      </c>
      <c r="U322" s="49">
        <f t="shared" si="169"/>
        <v>440885.02666666661</v>
      </c>
      <c r="V322" s="49">
        <f t="shared" si="169"/>
        <v>440885.02666666661</v>
      </c>
      <c r="W322" s="49">
        <f t="shared" si="169"/>
        <v>440885.02666666661</v>
      </c>
      <c r="X322" s="49">
        <f t="shared" si="169"/>
        <v>440885.02666666661</v>
      </c>
      <c r="Y322" s="49">
        <f t="shared" si="169"/>
        <v>440885.02666666661</v>
      </c>
      <c r="Z322" s="49">
        <f t="shared" si="169"/>
        <v>440885.02666666661</v>
      </c>
      <c r="AA322" s="49">
        <f t="shared" si="169"/>
        <v>440885.02666666661</v>
      </c>
    </row>
    <row r="323" spans="2:27" x14ac:dyDescent="0.3">
      <c r="B323" s="57" t="s">
        <v>42</v>
      </c>
      <c r="C323" s="392"/>
      <c r="D323" s="432"/>
      <c r="E323" s="57"/>
      <c r="F323" s="57"/>
      <c r="G323" s="78"/>
      <c r="H323" s="78"/>
      <c r="I323" s="78"/>
      <c r="J323" s="78"/>
      <c r="K323" s="78"/>
      <c r="L323" s="78"/>
      <c r="M323" s="78"/>
      <c r="N323" s="78"/>
      <c r="O323" s="78"/>
      <c r="P323" s="78"/>
      <c r="Q323" s="78"/>
      <c r="R323" s="78"/>
      <c r="S323" s="78"/>
      <c r="T323" s="78"/>
      <c r="U323" s="78"/>
      <c r="V323" s="78"/>
      <c r="W323" s="78"/>
      <c r="X323" s="78"/>
      <c r="Y323" s="78"/>
      <c r="Z323" s="78"/>
      <c r="AA323" s="78"/>
    </row>
    <row r="324" spans="2:27" x14ac:dyDescent="0.3">
      <c r="B324" s="47" t="s">
        <v>133</v>
      </c>
      <c r="C324" s="110">
        <v>2006</v>
      </c>
      <c r="D324" s="426">
        <v>6.9</v>
      </c>
      <c r="E324" s="47"/>
      <c r="F324" s="47"/>
      <c r="G324" s="49">
        <v>35381.828000000001</v>
      </c>
      <c r="H324" s="49">
        <v>40391.101000000002</v>
      </c>
      <c r="I324" s="49">
        <v>32300.107999999997</v>
      </c>
      <c r="J324" s="49">
        <v>36699.025999999998</v>
      </c>
      <c r="K324" s="49">
        <v>35041.322</v>
      </c>
      <c r="L324" s="49">
        <v>38808.311000000002</v>
      </c>
      <c r="M324" s="49">
        <v>27181.951999999997</v>
      </c>
      <c r="N324" s="49">
        <v>38544.047999999995</v>
      </c>
      <c r="O324" s="49">
        <f t="shared" ref="O324:O325" si="170">+AVERAGE(L324:N324)</f>
        <v>34844.770333333334</v>
      </c>
      <c r="P324" s="49">
        <f t="shared" ref="P324:AA325" si="171">+O324</f>
        <v>34844.770333333334</v>
      </c>
      <c r="Q324" s="49">
        <f t="shared" si="171"/>
        <v>34844.770333333334</v>
      </c>
      <c r="R324" s="49">
        <f t="shared" si="171"/>
        <v>34844.770333333334</v>
      </c>
      <c r="S324" s="49">
        <f t="shared" si="171"/>
        <v>34844.770333333334</v>
      </c>
      <c r="T324" s="49">
        <f t="shared" si="171"/>
        <v>34844.770333333334</v>
      </c>
      <c r="U324" s="49">
        <f t="shared" si="171"/>
        <v>34844.770333333334</v>
      </c>
      <c r="V324" s="49">
        <f t="shared" si="171"/>
        <v>34844.770333333334</v>
      </c>
      <c r="W324" s="49">
        <f t="shared" si="171"/>
        <v>34844.770333333334</v>
      </c>
      <c r="X324" s="49">
        <f t="shared" si="171"/>
        <v>34844.770333333334</v>
      </c>
      <c r="Y324" s="49">
        <f t="shared" si="171"/>
        <v>34844.770333333334</v>
      </c>
      <c r="Z324" s="49">
        <f t="shared" si="171"/>
        <v>34844.770333333334</v>
      </c>
      <c r="AA324" s="49">
        <f t="shared" si="171"/>
        <v>34844.770333333334</v>
      </c>
    </row>
    <row r="325" spans="2:27" x14ac:dyDescent="0.3">
      <c r="B325" s="47" t="s">
        <v>134</v>
      </c>
      <c r="C325" s="110">
        <v>2006</v>
      </c>
      <c r="D325" s="426">
        <v>10.69</v>
      </c>
      <c r="E325" s="47"/>
      <c r="F325" s="47"/>
      <c r="G325" s="49">
        <v>43128.714000000007</v>
      </c>
      <c r="H325" s="49">
        <v>46044.358999999997</v>
      </c>
      <c r="I325" s="49">
        <v>43194.46</v>
      </c>
      <c r="J325" s="49">
        <v>45291.724999999999</v>
      </c>
      <c r="K325" s="49">
        <v>48557.090000000004</v>
      </c>
      <c r="L325" s="49">
        <v>47305.845000000001</v>
      </c>
      <c r="M325" s="49">
        <v>39690.658000000003</v>
      </c>
      <c r="N325" s="49">
        <v>47225.397999999994</v>
      </c>
      <c r="O325" s="49">
        <f t="shared" si="170"/>
        <v>44740.633666666661</v>
      </c>
      <c r="P325" s="49">
        <f t="shared" si="171"/>
        <v>44740.633666666661</v>
      </c>
      <c r="Q325" s="49">
        <f t="shared" si="171"/>
        <v>44740.633666666661</v>
      </c>
      <c r="R325" s="49">
        <f t="shared" si="171"/>
        <v>44740.633666666661</v>
      </c>
      <c r="S325" s="49">
        <f t="shared" si="171"/>
        <v>44740.633666666661</v>
      </c>
      <c r="T325" s="49">
        <f t="shared" si="171"/>
        <v>44740.633666666661</v>
      </c>
      <c r="U325" s="49">
        <f t="shared" si="171"/>
        <v>44740.633666666661</v>
      </c>
      <c r="V325" s="49">
        <f t="shared" si="171"/>
        <v>44740.633666666661</v>
      </c>
      <c r="W325" s="49">
        <f t="shared" si="171"/>
        <v>44740.633666666661</v>
      </c>
      <c r="X325" s="49">
        <f t="shared" si="171"/>
        <v>44740.633666666661</v>
      </c>
      <c r="Y325" s="49">
        <f t="shared" si="171"/>
        <v>44740.633666666661</v>
      </c>
      <c r="Z325" s="49">
        <f t="shared" si="171"/>
        <v>44740.633666666661</v>
      </c>
      <c r="AA325" s="49">
        <f t="shared" si="171"/>
        <v>44740.633666666661</v>
      </c>
    </row>
    <row r="326" spans="2:27" x14ac:dyDescent="0.3">
      <c r="B326" s="57" t="s">
        <v>43</v>
      </c>
      <c r="C326" s="392"/>
      <c r="D326" s="432"/>
      <c r="E326" s="57"/>
      <c r="F326" s="57"/>
      <c r="G326" s="78"/>
      <c r="H326" s="78"/>
      <c r="I326" s="78"/>
      <c r="J326" s="78"/>
      <c r="K326" s="78"/>
      <c r="L326" s="78"/>
      <c r="M326" s="78"/>
      <c r="N326" s="78"/>
      <c r="O326" s="78"/>
      <c r="P326" s="78"/>
      <c r="Q326" s="78"/>
      <c r="R326" s="78"/>
      <c r="S326" s="78"/>
      <c r="T326" s="78"/>
      <c r="U326" s="78"/>
      <c r="V326" s="78"/>
      <c r="W326" s="78"/>
      <c r="X326" s="78"/>
      <c r="Y326" s="78"/>
      <c r="Z326" s="78"/>
      <c r="AA326" s="78"/>
    </row>
    <row r="327" spans="2:27" x14ac:dyDescent="0.3">
      <c r="B327" s="47" t="s">
        <v>124</v>
      </c>
      <c r="C327" s="110">
        <v>1997</v>
      </c>
      <c r="D327" s="426">
        <v>9.7200000000000006</v>
      </c>
      <c r="E327" s="47"/>
      <c r="F327" s="47"/>
      <c r="G327" s="49">
        <v>8884.2089999999989</v>
      </c>
      <c r="H327" s="49">
        <v>15926.226000000001</v>
      </c>
      <c r="I327" s="49">
        <v>12913.739999999998</v>
      </c>
      <c r="J327" s="49">
        <v>11358.185999999998</v>
      </c>
      <c r="K327" s="49">
        <v>10445.099</v>
      </c>
      <c r="L327" s="49">
        <v>12813.867</v>
      </c>
      <c r="M327" s="49">
        <v>6632.0620000000017</v>
      </c>
      <c r="N327" s="49">
        <v>11241.978999999999</v>
      </c>
      <c r="O327" s="49">
        <f t="shared" ref="O327" si="172">+AVERAGE(L327:N327)</f>
        <v>10229.302666666668</v>
      </c>
      <c r="P327" s="49">
        <f>+O327</f>
        <v>10229.302666666668</v>
      </c>
      <c r="Q327" s="49">
        <f t="shared" ref="Q327:AA327" si="173">+P327</f>
        <v>10229.302666666668</v>
      </c>
      <c r="R327" s="49">
        <f t="shared" si="173"/>
        <v>10229.302666666668</v>
      </c>
      <c r="S327" s="49">
        <f t="shared" si="173"/>
        <v>10229.302666666668</v>
      </c>
      <c r="T327" s="49">
        <f t="shared" si="173"/>
        <v>10229.302666666668</v>
      </c>
      <c r="U327" s="49">
        <f t="shared" si="173"/>
        <v>10229.302666666668</v>
      </c>
      <c r="V327" s="49">
        <f t="shared" si="173"/>
        <v>10229.302666666668</v>
      </c>
      <c r="W327" s="49">
        <f t="shared" si="173"/>
        <v>10229.302666666668</v>
      </c>
      <c r="X327" s="49">
        <f t="shared" si="173"/>
        <v>10229.302666666668</v>
      </c>
      <c r="Y327" s="49">
        <f t="shared" si="173"/>
        <v>10229.302666666668</v>
      </c>
      <c r="Z327" s="49">
        <f t="shared" si="173"/>
        <v>10229.302666666668</v>
      </c>
      <c r="AA327" s="49">
        <f t="shared" si="173"/>
        <v>10229.302666666668</v>
      </c>
    </row>
    <row r="328" spans="2:27" x14ac:dyDescent="0.3">
      <c r="B328" s="57" t="s">
        <v>46</v>
      </c>
      <c r="C328" s="392"/>
      <c r="D328" s="432"/>
      <c r="E328" s="57"/>
      <c r="F328" s="57"/>
      <c r="G328" s="78"/>
      <c r="H328" s="78"/>
      <c r="I328" s="78"/>
      <c r="J328" s="78"/>
      <c r="K328" s="78"/>
      <c r="L328" s="78"/>
      <c r="M328" s="78"/>
      <c r="N328" s="78"/>
      <c r="O328" s="78"/>
      <c r="P328" s="78"/>
      <c r="Q328" s="78"/>
      <c r="R328" s="78"/>
      <c r="S328" s="78"/>
      <c r="T328" s="78"/>
      <c r="U328" s="78"/>
      <c r="V328" s="78"/>
      <c r="W328" s="78"/>
      <c r="X328" s="78"/>
      <c r="Y328" s="78"/>
      <c r="Z328" s="78"/>
      <c r="AA328" s="78"/>
    </row>
    <row r="329" spans="2:27" x14ac:dyDescent="0.3">
      <c r="B329" s="47" t="s">
        <v>150</v>
      </c>
      <c r="C329" s="110">
        <v>2002</v>
      </c>
      <c r="D329" s="426">
        <v>50.784999999999997</v>
      </c>
      <c r="E329" s="47"/>
      <c r="F329" s="47"/>
      <c r="G329" s="49">
        <v>190812.26330156953</v>
      </c>
      <c r="H329" s="49">
        <v>206067.00099999999</v>
      </c>
      <c r="I329" s="49">
        <v>209706.07100000003</v>
      </c>
      <c r="J329" s="49">
        <v>223487.34744793986</v>
      </c>
      <c r="K329" s="49">
        <v>70571.212</v>
      </c>
      <c r="L329" s="49">
        <v>211398.55300000001</v>
      </c>
      <c r="M329" s="49">
        <v>155757.26200000002</v>
      </c>
      <c r="N329" s="49">
        <v>179334.13099999996</v>
      </c>
      <c r="O329" s="49">
        <f t="shared" ref="O329" si="174">+AVERAGE(L329:N329)</f>
        <v>182163.31533333333</v>
      </c>
      <c r="P329" s="49">
        <f>+O329</f>
        <v>182163.31533333333</v>
      </c>
      <c r="Q329" s="49">
        <f t="shared" ref="Q329:AA329" si="175">+P329</f>
        <v>182163.31533333333</v>
      </c>
      <c r="R329" s="49">
        <f t="shared" si="175"/>
        <v>182163.31533333333</v>
      </c>
      <c r="S329" s="49">
        <f t="shared" si="175"/>
        <v>182163.31533333333</v>
      </c>
      <c r="T329" s="49">
        <f t="shared" si="175"/>
        <v>182163.31533333333</v>
      </c>
      <c r="U329" s="49">
        <f t="shared" si="175"/>
        <v>182163.31533333333</v>
      </c>
      <c r="V329" s="49">
        <f t="shared" si="175"/>
        <v>182163.31533333333</v>
      </c>
      <c r="W329" s="49">
        <f t="shared" si="175"/>
        <v>182163.31533333333</v>
      </c>
      <c r="X329" s="49">
        <f t="shared" si="175"/>
        <v>182163.31533333333</v>
      </c>
      <c r="Y329" s="49">
        <f t="shared" si="175"/>
        <v>182163.31533333333</v>
      </c>
      <c r="Z329" s="49">
        <f t="shared" si="175"/>
        <v>182163.31533333333</v>
      </c>
      <c r="AA329" s="49">
        <f t="shared" si="175"/>
        <v>182163.31533333333</v>
      </c>
    </row>
    <row r="330" spans="2:27" x14ac:dyDescent="0.3">
      <c r="B330" s="57" t="s">
        <v>1</v>
      </c>
      <c r="C330" s="392"/>
      <c r="D330" s="432"/>
      <c r="E330" s="57"/>
      <c r="F330" s="57"/>
      <c r="G330" s="78"/>
      <c r="H330" s="78"/>
      <c r="I330" s="78"/>
      <c r="J330" s="78"/>
      <c r="K330" s="78"/>
      <c r="L330" s="78"/>
      <c r="M330" s="78"/>
      <c r="N330" s="78"/>
      <c r="O330" s="78"/>
      <c r="P330" s="78"/>
      <c r="Q330" s="78"/>
      <c r="R330" s="78"/>
      <c r="S330" s="78"/>
      <c r="T330" s="78"/>
      <c r="U330" s="78"/>
      <c r="V330" s="78"/>
      <c r="W330" s="78"/>
      <c r="X330" s="78"/>
      <c r="Y330" s="78"/>
      <c r="Z330" s="78"/>
      <c r="AA330" s="78"/>
    </row>
    <row r="331" spans="2:27" x14ac:dyDescent="0.3">
      <c r="B331" s="47" t="s">
        <v>123</v>
      </c>
      <c r="C331" s="110">
        <v>1997</v>
      </c>
      <c r="D331" s="426">
        <v>11.04</v>
      </c>
      <c r="E331" s="47"/>
      <c r="F331" s="47"/>
      <c r="G331" s="49">
        <v>11345.115999999998</v>
      </c>
      <c r="H331" s="49">
        <v>11062.147000000001</v>
      </c>
      <c r="I331" s="49">
        <v>9730.2360000000008</v>
      </c>
      <c r="J331" s="49">
        <v>8366.9229999999989</v>
      </c>
      <c r="K331" s="49">
        <v>9230.8360000000011</v>
      </c>
      <c r="L331" s="49">
        <v>9970.2779999999984</v>
      </c>
      <c r="M331" s="49">
        <v>9497.0040000000008</v>
      </c>
      <c r="N331" s="49">
        <v>10212.421999999999</v>
      </c>
      <c r="O331" s="49">
        <f t="shared" ref="O331" si="176">+AVERAGE(L331:N331)</f>
        <v>9893.2346666666654</v>
      </c>
      <c r="P331" s="49">
        <f>+O331</f>
        <v>9893.2346666666654</v>
      </c>
      <c r="Q331" s="49">
        <f t="shared" ref="Q331:AA331" si="177">+P331</f>
        <v>9893.2346666666654</v>
      </c>
      <c r="R331" s="49">
        <f t="shared" si="177"/>
        <v>9893.2346666666654</v>
      </c>
      <c r="S331" s="49">
        <f t="shared" si="177"/>
        <v>9893.2346666666654</v>
      </c>
      <c r="T331" s="49">
        <f t="shared" si="177"/>
        <v>9893.2346666666654</v>
      </c>
      <c r="U331" s="49">
        <f t="shared" si="177"/>
        <v>9893.2346666666654</v>
      </c>
      <c r="V331" s="49">
        <f t="shared" si="177"/>
        <v>9893.2346666666654</v>
      </c>
      <c r="W331" s="49">
        <f t="shared" si="177"/>
        <v>9893.2346666666654</v>
      </c>
      <c r="X331" s="49">
        <f t="shared" si="177"/>
        <v>9893.2346666666654</v>
      </c>
      <c r="Y331" s="49">
        <f t="shared" si="177"/>
        <v>9893.2346666666654</v>
      </c>
      <c r="Z331" s="49">
        <f t="shared" si="177"/>
        <v>9893.2346666666654</v>
      </c>
      <c r="AA331" s="49">
        <f t="shared" si="177"/>
        <v>9893.2346666666654</v>
      </c>
    </row>
    <row r="332" spans="2:27" x14ac:dyDescent="0.3">
      <c r="B332" s="15"/>
      <c r="C332" s="428"/>
      <c r="D332" s="429"/>
    </row>
    <row r="333" spans="2:27" x14ac:dyDescent="0.3">
      <c r="B333" s="439"/>
      <c r="C333" s="440"/>
      <c r="D333" s="440"/>
      <c r="E333" s="440"/>
      <c r="F333" s="438"/>
      <c r="G333" s="381">
        <v>2010</v>
      </c>
      <c r="H333" s="381">
        <v>2011</v>
      </c>
      <c r="I333" s="381">
        <v>2012</v>
      </c>
      <c r="J333" s="381">
        <v>2013</v>
      </c>
      <c r="K333" s="381">
        <v>2014</v>
      </c>
      <c r="L333" s="381">
        <v>2015</v>
      </c>
      <c r="M333" s="381">
        <v>2016</v>
      </c>
      <c r="N333" s="381">
        <v>2017</v>
      </c>
      <c r="O333" s="381">
        <v>2018</v>
      </c>
      <c r="P333" s="381">
        <v>2019</v>
      </c>
      <c r="Q333" s="381">
        <v>2020</v>
      </c>
      <c r="R333" s="381">
        <v>2021</v>
      </c>
      <c r="S333" s="381">
        <v>2022</v>
      </c>
      <c r="T333" s="381">
        <v>2023</v>
      </c>
      <c r="U333" s="381">
        <v>2024</v>
      </c>
      <c r="V333" s="381">
        <v>2025</v>
      </c>
      <c r="W333" s="381">
        <v>2026</v>
      </c>
      <c r="X333" s="381">
        <v>2027</v>
      </c>
      <c r="Y333" s="381">
        <v>2028</v>
      </c>
      <c r="Z333" s="381">
        <v>2029</v>
      </c>
      <c r="AA333" s="381">
        <v>2030</v>
      </c>
    </row>
    <row r="334" spans="2:27" ht="28.8" x14ac:dyDescent="0.3">
      <c r="B334" s="84" t="s">
        <v>164</v>
      </c>
      <c r="C334" s="80" t="s">
        <v>279</v>
      </c>
      <c r="D334" s="389" t="s">
        <v>397</v>
      </c>
      <c r="E334" s="388"/>
      <c r="F334" s="84"/>
      <c r="G334" s="79" t="s">
        <v>165</v>
      </c>
      <c r="H334" s="79" t="s">
        <v>165</v>
      </c>
      <c r="I334" s="79" t="s">
        <v>165</v>
      </c>
      <c r="J334" s="79" t="s">
        <v>165</v>
      </c>
      <c r="K334" s="79" t="s">
        <v>165</v>
      </c>
      <c r="L334" s="79" t="s">
        <v>165</v>
      </c>
      <c r="M334" s="79" t="s">
        <v>165</v>
      </c>
      <c r="N334" s="79" t="s">
        <v>165</v>
      </c>
      <c r="O334" s="79" t="s">
        <v>165</v>
      </c>
      <c r="P334" s="79" t="s">
        <v>165</v>
      </c>
      <c r="Q334" s="79" t="s">
        <v>165</v>
      </c>
      <c r="R334" s="79" t="s">
        <v>165</v>
      </c>
      <c r="S334" s="79" t="s">
        <v>165</v>
      </c>
      <c r="T334" s="79" t="s">
        <v>165</v>
      </c>
      <c r="U334" s="79" t="s">
        <v>165</v>
      </c>
      <c r="V334" s="79" t="s">
        <v>165</v>
      </c>
      <c r="W334" s="79" t="s">
        <v>165</v>
      </c>
      <c r="X334" s="79" t="s">
        <v>165</v>
      </c>
      <c r="Y334" s="79" t="s">
        <v>165</v>
      </c>
      <c r="Z334" s="79" t="s">
        <v>165</v>
      </c>
      <c r="AA334" s="79" t="s">
        <v>165</v>
      </c>
    </row>
    <row r="335" spans="2:27" x14ac:dyDescent="0.3">
      <c r="B335" s="7" t="s">
        <v>12</v>
      </c>
      <c r="C335" s="422"/>
      <c r="D335" s="11"/>
      <c r="E335" s="11"/>
      <c r="F335" s="11"/>
      <c r="G335" s="85">
        <f t="shared" ref="G335:M335" si="178">+SUM(G336:G340)</f>
        <v>58156.17</v>
      </c>
      <c r="H335" s="85">
        <f t="shared" si="178"/>
        <v>64040.52</v>
      </c>
      <c r="I335" s="85">
        <f t="shared" si="178"/>
        <v>64494.2</v>
      </c>
      <c r="J335" s="85">
        <f t="shared" si="178"/>
        <v>79491</v>
      </c>
      <c r="K335" s="85">
        <f t="shared" si="178"/>
        <v>76309.624999999985</v>
      </c>
      <c r="L335" s="85">
        <f t="shared" si="178"/>
        <v>79093.507500000007</v>
      </c>
      <c r="M335" s="85">
        <f t="shared" si="178"/>
        <v>61193.049750000006</v>
      </c>
      <c r="N335" s="85">
        <f>+SUM(N336:N340)</f>
        <v>44047.566999999995</v>
      </c>
      <c r="O335" s="85">
        <f>+SUM(O336:O340)</f>
        <v>61776.900333333338</v>
      </c>
      <c r="P335" s="85">
        <f t="shared" ref="P335:AA335" si="179">+SUM(P336:P340)</f>
        <v>61776.900333333338</v>
      </c>
      <c r="Q335" s="85">
        <f t="shared" si="179"/>
        <v>61776.900333333338</v>
      </c>
      <c r="R335" s="85">
        <f t="shared" si="179"/>
        <v>61776.900333333338</v>
      </c>
      <c r="S335" s="85">
        <f t="shared" si="179"/>
        <v>61776.900333333338</v>
      </c>
      <c r="T335" s="85">
        <f t="shared" si="179"/>
        <v>61776.900333333338</v>
      </c>
      <c r="U335" s="85">
        <f t="shared" si="179"/>
        <v>61776.900333333338</v>
      </c>
      <c r="V335" s="85">
        <f t="shared" si="179"/>
        <v>61776.900333333338</v>
      </c>
      <c r="W335" s="85">
        <f t="shared" si="179"/>
        <v>61776.900333333338</v>
      </c>
      <c r="X335" s="85">
        <f t="shared" si="179"/>
        <v>61776.900333333338</v>
      </c>
      <c r="Y335" s="85">
        <f t="shared" si="179"/>
        <v>61776.900333333338</v>
      </c>
      <c r="Z335" s="85">
        <f t="shared" si="179"/>
        <v>61776.900333333338</v>
      </c>
      <c r="AA335" s="85">
        <f t="shared" si="179"/>
        <v>61776.900333333338</v>
      </c>
    </row>
    <row r="336" spans="2:27" x14ac:dyDescent="0.3">
      <c r="B336" s="57" t="s">
        <v>13</v>
      </c>
      <c r="C336" s="392"/>
      <c r="D336" s="57"/>
      <c r="E336" s="57"/>
      <c r="F336" s="57"/>
      <c r="G336" s="78"/>
      <c r="H336" s="78"/>
      <c r="I336" s="78"/>
      <c r="J336" s="78"/>
      <c r="K336" s="78"/>
      <c r="L336" s="78"/>
      <c r="M336" s="78"/>
      <c r="N336" s="78"/>
      <c r="O336" s="78"/>
      <c r="P336" s="78"/>
      <c r="Q336" s="78"/>
      <c r="R336" s="78"/>
      <c r="S336" s="78"/>
      <c r="T336" s="78"/>
      <c r="U336" s="78"/>
      <c r="V336" s="78"/>
      <c r="W336" s="78"/>
      <c r="X336" s="78"/>
      <c r="Y336" s="78"/>
      <c r="Z336" s="78"/>
      <c r="AA336" s="78"/>
    </row>
    <row r="337" spans="2:27" x14ac:dyDescent="0.3">
      <c r="B337" s="47" t="s">
        <v>191</v>
      </c>
      <c r="C337" s="423">
        <v>2007</v>
      </c>
      <c r="D337" s="426">
        <v>21</v>
      </c>
      <c r="E337" s="47"/>
      <c r="F337" s="47"/>
      <c r="G337" s="49">
        <v>58156.17</v>
      </c>
      <c r="H337" s="49">
        <v>64040.52</v>
      </c>
      <c r="I337" s="49">
        <v>64494.2</v>
      </c>
      <c r="J337" s="49">
        <v>79491</v>
      </c>
      <c r="K337" s="49">
        <v>65694</v>
      </c>
      <c r="L337" s="49">
        <v>62146</v>
      </c>
      <c r="M337" s="49">
        <v>50538</v>
      </c>
      <c r="N337" s="49">
        <v>29748</v>
      </c>
      <c r="O337" s="49">
        <f t="shared" ref="O337" si="180">+AVERAGE(L337:N337)</f>
        <v>47477.333333333336</v>
      </c>
      <c r="P337" s="49">
        <f t="shared" ref="P337:AA338" si="181">+O337</f>
        <v>47477.333333333336</v>
      </c>
      <c r="Q337" s="49">
        <f t="shared" si="181"/>
        <v>47477.333333333336</v>
      </c>
      <c r="R337" s="49">
        <f t="shared" si="181"/>
        <v>47477.333333333336</v>
      </c>
      <c r="S337" s="49">
        <f t="shared" si="181"/>
        <v>47477.333333333336</v>
      </c>
      <c r="T337" s="49">
        <f t="shared" si="181"/>
        <v>47477.333333333336</v>
      </c>
      <c r="U337" s="49">
        <f t="shared" si="181"/>
        <v>47477.333333333336</v>
      </c>
      <c r="V337" s="49">
        <f t="shared" si="181"/>
        <v>47477.333333333336</v>
      </c>
      <c r="W337" s="49">
        <f t="shared" si="181"/>
        <v>47477.333333333336</v>
      </c>
      <c r="X337" s="49">
        <f t="shared" si="181"/>
        <v>47477.333333333336</v>
      </c>
      <c r="Y337" s="49">
        <f t="shared" si="181"/>
        <v>47477.333333333336</v>
      </c>
      <c r="Z337" s="49">
        <f t="shared" si="181"/>
        <v>47477.333333333336</v>
      </c>
      <c r="AA337" s="49">
        <f t="shared" si="181"/>
        <v>47477.333333333336</v>
      </c>
    </row>
    <row r="338" spans="2:27" x14ac:dyDescent="0.3">
      <c r="B338" s="47" t="s">
        <v>346</v>
      </c>
      <c r="C338" s="423">
        <v>2017</v>
      </c>
      <c r="D338" s="426">
        <v>5</v>
      </c>
      <c r="E338" s="47"/>
      <c r="F338" s="47"/>
      <c r="G338" s="49">
        <v>0</v>
      </c>
      <c r="H338" s="49">
        <v>0</v>
      </c>
      <c r="I338" s="49">
        <v>0</v>
      </c>
      <c r="J338" s="49">
        <v>0</v>
      </c>
      <c r="K338" s="49">
        <v>0</v>
      </c>
      <c r="L338" s="49">
        <v>0</v>
      </c>
      <c r="M338" s="49">
        <v>0</v>
      </c>
      <c r="N338" s="49">
        <v>3137</v>
      </c>
      <c r="O338" s="49">
        <f>+N338</f>
        <v>3137</v>
      </c>
      <c r="P338" s="49">
        <f t="shared" si="181"/>
        <v>3137</v>
      </c>
      <c r="Q338" s="49">
        <f t="shared" si="181"/>
        <v>3137</v>
      </c>
      <c r="R338" s="49">
        <f t="shared" si="181"/>
        <v>3137</v>
      </c>
      <c r="S338" s="49">
        <f t="shared" si="181"/>
        <v>3137</v>
      </c>
      <c r="T338" s="49">
        <f t="shared" si="181"/>
        <v>3137</v>
      </c>
      <c r="U338" s="49">
        <f t="shared" si="181"/>
        <v>3137</v>
      </c>
      <c r="V338" s="49">
        <f t="shared" si="181"/>
        <v>3137</v>
      </c>
      <c r="W338" s="49">
        <f t="shared" si="181"/>
        <v>3137</v>
      </c>
      <c r="X338" s="49">
        <f t="shared" si="181"/>
        <v>3137</v>
      </c>
      <c r="Y338" s="49">
        <f t="shared" si="181"/>
        <v>3137</v>
      </c>
      <c r="Z338" s="49">
        <f t="shared" si="181"/>
        <v>3137</v>
      </c>
      <c r="AA338" s="49">
        <f t="shared" si="181"/>
        <v>3137</v>
      </c>
    </row>
    <row r="339" spans="2:27" x14ac:dyDescent="0.3">
      <c r="B339" s="57" t="s">
        <v>17</v>
      </c>
      <c r="C339" s="392"/>
      <c r="D339" s="57"/>
      <c r="E339" s="57"/>
      <c r="F339" s="57"/>
      <c r="G339" s="78"/>
      <c r="H339" s="78"/>
      <c r="I339" s="78"/>
      <c r="J339" s="78"/>
      <c r="K339" s="78"/>
      <c r="L339" s="78"/>
      <c r="M339" s="78"/>
      <c r="N339" s="78"/>
      <c r="O339" s="78"/>
      <c r="P339" s="78"/>
      <c r="Q339" s="78"/>
      <c r="R339" s="78"/>
      <c r="S339" s="78"/>
      <c r="T339" s="78"/>
      <c r="U339" s="78"/>
      <c r="V339" s="78"/>
      <c r="W339" s="78"/>
      <c r="X339" s="78"/>
      <c r="Y339" s="78"/>
      <c r="Z339" s="78"/>
      <c r="AA339" s="78"/>
    </row>
    <row r="340" spans="2:27" x14ac:dyDescent="0.3">
      <c r="B340" s="47" t="s">
        <v>325</v>
      </c>
      <c r="C340" s="423">
        <v>2014</v>
      </c>
      <c r="D340" s="426">
        <v>14.57</v>
      </c>
      <c r="E340" s="47"/>
      <c r="F340" s="47"/>
      <c r="G340" s="49">
        <v>0</v>
      </c>
      <c r="H340" s="49">
        <v>0</v>
      </c>
      <c r="I340" s="49">
        <v>0</v>
      </c>
      <c r="J340" s="49">
        <v>0</v>
      </c>
      <c r="K340" s="49">
        <v>10615.624999999991</v>
      </c>
      <c r="L340" s="49">
        <v>16947.507500000011</v>
      </c>
      <c r="M340" s="49">
        <v>10655.049750000002</v>
      </c>
      <c r="N340" s="49">
        <v>11162.566999999999</v>
      </c>
      <c r="O340" s="49">
        <f>+N340</f>
        <v>11162.566999999999</v>
      </c>
      <c r="P340" s="49">
        <f>+O340</f>
        <v>11162.566999999999</v>
      </c>
      <c r="Q340" s="49">
        <f t="shared" ref="Q340:AA340" si="182">+P340</f>
        <v>11162.566999999999</v>
      </c>
      <c r="R340" s="49">
        <f t="shared" si="182"/>
        <v>11162.566999999999</v>
      </c>
      <c r="S340" s="49">
        <f t="shared" si="182"/>
        <v>11162.566999999999</v>
      </c>
      <c r="T340" s="49">
        <f t="shared" si="182"/>
        <v>11162.566999999999</v>
      </c>
      <c r="U340" s="49">
        <f t="shared" si="182"/>
        <v>11162.566999999999</v>
      </c>
      <c r="V340" s="49">
        <f t="shared" si="182"/>
        <v>11162.566999999999</v>
      </c>
      <c r="W340" s="49">
        <f t="shared" si="182"/>
        <v>11162.566999999999</v>
      </c>
      <c r="X340" s="49">
        <f t="shared" si="182"/>
        <v>11162.566999999999</v>
      </c>
      <c r="Y340" s="49">
        <f t="shared" si="182"/>
        <v>11162.566999999999</v>
      </c>
      <c r="Z340" s="49">
        <f t="shared" si="182"/>
        <v>11162.566999999999</v>
      </c>
      <c r="AA340" s="49">
        <f t="shared" si="182"/>
        <v>11162.566999999999</v>
      </c>
    </row>
    <row r="341" spans="2:27" x14ac:dyDescent="0.3">
      <c r="B341" s="15"/>
      <c r="C341" s="430"/>
      <c r="D341" s="429"/>
    </row>
    <row r="342" spans="2:27" x14ac:dyDescent="0.3">
      <c r="B342" s="439"/>
      <c r="C342" s="440"/>
      <c r="D342" s="440"/>
      <c r="E342" s="440"/>
      <c r="F342" s="438"/>
      <c r="G342" s="381">
        <v>2010</v>
      </c>
      <c r="H342" s="381">
        <v>2011</v>
      </c>
      <c r="I342" s="381">
        <v>2012</v>
      </c>
      <c r="J342" s="381">
        <v>2013</v>
      </c>
      <c r="K342" s="381">
        <v>2014</v>
      </c>
      <c r="L342" s="381">
        <v>2015</v>
      </c>
      <c r="M342" s="381">
        <v>2016</v>
      </c>
      <c r="N342" s="381">
        <v>2017</v>
      </c>
      <c r="O342" s="381">
        <v>2018</v>
      </c>
      <c r="P342" s="381">
        <v>2019</v>
      </c>
      <c r="Q342" s="381">
        <v>2020</v>
      </c>
      <c r="R342" s="381">
        <v>2021</v>
      </c>
      <c r="S342" s="381">
        <v>2022</v>
      </c>
      <c r="T342" s="381">
        <v>2023</v>
      </c>
      <c r="U342" s="381">
        <v>2024</v>
      </c>
      <c r="V342" s="381">
        <v>2025</v>
      </c>
      <c r="W342" s="381">
        <v>2026</v>
      </c>
      <c r="X342" s="381">
        <v>2027</v>
      </c>
      <c r="Y342" s="381">
        <v>2028</v>
      </c>
      <c r="Z342" s="381">
        <v>2029</v>
      </c>
      <c r="AA342" s="381">
        <v>2030</v>
      </c>
    </row>
    <row r="343" spans="2:27" ht="28.8" x14ac:dyDescent="0.3">
      <c r="B343" s="84" t="s">
        <v>164</v>
      </c>
      <c r="C343" s="80" t="s">
        <v>279</v>
      </c>
      <c r="D343" s="389" t="s">
        <v>397</v>
      </c>
      <c r="E343" s="388" t="s">
        <v>247</v>
      </c>
      <c r="F343" s="84"/>
      <c r="G343" s="79" t="s">
        <v>165</v>
      </c>
      <c r="H343" s="79" t="s">
        <v>165</v>
      </c>
      <c r="I343" s="79" t="s">
        <v>165</v>
      </c>
      <c r="J343" s="79" t="s">
        <v>165</v>
      </c>
      <c r="K343" s="79" t="s">
        <v>165</v>
      </c>
      <c r="L343" s="79" t="s">
        <v>165</v>
      </c>
      <c r="M343" s="79" t="s">
        <v>165</v>
      </c>
      <c r="N343" s="79" t="s">
        <v>165</v>
      </c>
      <c r="O343" s="79" t="s">
        <v>165</v>
      </c>
      <c r="P343" s="79" t="s">
        <v>165</v>
      </c>
      <c r="Q343" s="79" t="s">
        <v>165</v>
      </c>
      <c r="R343" s="79" t="s">
        <v>165</v>
      </c>
      <c r="S343" s="79" t="s">
        <v>165</v>
      </c>
      <c r="T343" s="79" t="s">
        <v>165</v>
      </c>
      <c r="U343" s="79" t="s">
        <v>165</v>
      </c>
      <c r="V343" s="79" t="s">
        <v>165</v>
      </c>
      <c r="W343" s="79" t="s">
        <v>165</v>
      </c>
      <c r="X343" s="79" t="s">
        <v>165</v>
      </c>
      <c r="Y343" s="79" t="s">
        <v>165</v>
      </c>
      <c r="Z343" s="79" t="s">
        <v>165</v>
      </c>
      <c r="AA343" s="79" t="s">
        <v>165</v>
      </c>
    </row>
    <row r="344" spans="2:27" x14ac:dyDescent="0.3">
      <c r="B344" s="7" t="s">
        <v>8</v>
      </c>
      <c r="C344" s="11"/>
      <c r="D344" s="11"/>
      <c r="E344" s="11"/>
      <c r="F344" s="11"/>
      <c r="G344" s="85">
        <f t="shared" ref="G344:M344" si="183">+SUM(G345:G347)</f>
        <v>0</v>
      </c>
      <c r="H344" s="85">
        <f t="shared" si="183"/>
        <v>0</v>
      </c>
      <c r="I344" s="85">
        <f t="shared" si="183"/>
        <v>0</v>
      </c>
      <c r="J344" s="85">
        <f t="shared" si="183"/>
        <v>36.528500000000001</v>
      </c>
      <c r="K344" s="85">
        <f t="shared" si="183"/>
        <v>8157.7569999999996</v>
      </c>
      <c r="L344" s="85">
        <f t="shared" si="183"/>
        <v>11450.126</v>
      </c>
      <c r="M344" s="85">
        <f t="shared" si="183"/>
        <v>34911.444000000003</v>
      </c>
      <c r="N344" s="85">
        <f>+SUM(N345:N347)</f>
        <v>60383.278999999995</v>
      </c>
      <c r="O344" s="85">
        <f t="shared" ref="O344:AA344" si="184">+SUM(O345:O347)</f>
        <v>86072.578999999998</v>
      </c>
      <c r="P344" s="85">
        <f t="shared" si="184"/>
        <v>86072.578999999998</v>
      </c>
      <c r="Q344" s="85">
        <f t="shared" si="184"/>
        <v>86072.578999999998</v>
      </c>
      <c r="R344" s="85">
        <f t="shared" si="184"/>
        <v>86072.578999999998</v>
      </c>
      <c r="S344" s="85">
        <f t="shared" si="184"/>
        <v>86072.578999999998</v>
      </c>
      <c r="T344" s="85">
        <f t="shared" si="184"/>
        <v>86072.578999999998</v>
      </c>
      <c r="U344" s="85">
        <f t="shared" si="184"/>
        <v>86072.578999999998</v>
      </c>
      <c r="V344" s="85">
        <f t="shared" si="184"/>
        <v>86072.578999999998</v>
      </c>
      <c r="W344" s="85">
        <f t="shared" si="184"/>
        <v>86072.578999999998</v>
      </c>
      <c r="X344" s="85">
        <f t="shared" si="184"/>
        <v>86072.578999999998</v>
      </c>
      <c r="Y344" s="85">
        <f t="shared" si="184"/>
        <v>86072.578999999998</v>
      </c>
      <c r="Z344" s="85">
        <f t="shared" si="184"/>
        <v>86072.578999999998</v>
      </c>
      <c r="AA344" s="85">
        <f t="shared" si="184"/>
        <v>86072.578999999998</v>
      </c>
    </row>
    <row r="345" spans="2:27" x14ac:dyDescent="0.3">
      <c r="B345" s="57" t="s">
        <v>9</v>
      </c>
      <c r="C345" s="57"/>
      <c r="D345" s="57"/>
      <c r="E345" s="57"/>
      <c r="F345" s="57"/>
      <c r="G345" s="78"/>
      <c r="H345" s="78"/>
      <c r="I345" s="78"/>
      <c r="J345" s="78"/>
      <c r="K345" s="78"/>
      <c r="L345" s="78"/>
      <c r="M345" s="78"/>
      <c r="N345" s="78"/>
      <c r="O345" s="78"/>
      <c r="P345" s="78"/>
      <c r="Q345" s="78"/>
      <c r="R345" s="78"/>
      <c r="S345" s="78"/>
      <c r="T345" s="78"/>
      <c r="U345" s="78"/>
      <c r="V345" s="78"/>
      <c r="W345" s="78"/>
      <c r="X345" s="78"/>
      <c r="Y345" s="78"/>
      <c r="Z345" s="78"/>
      <c r="AA345" s="78"/>
    </row>
    <row r="346" spans="2:27" x14ac:dyDescent="0.3">
      <c r="B346" s="47" t="s">
        <v>340</v>
      </c>
      <c r="C346" s="227">
        <v>2013</v>
      </c>
      <c r="D346" s="426">
        <v>3</v>
      </c>
      <c r="E346" s="110">
        <v>0.35</v>
      </c>
      <c r="F346" s="47"/>
      <c r="G346" s="49">
        <v>0</v>
      </c>
      <c r="H346" s="49">
        <v>0</v>
      </c>
      <c r="I346" s="49">
        <v>0</v>
      </c>
      <c r="J346" s="49">
        <v>36.528500000000001</v>
      </c>
      <c r="K346" s="49">
        <v>8157.7569999999996</v>
      </c>
      <c r="L346" s="49">
        <v>11450.126</v>
      </c>
      <c r="M346" s="49">
        <v>13207.373</v>
      </c>
      <c r="N346" s="49">
        <v>12488.579</v>
      </c>
      <c r="O346" s="49">
        <f>+N346</f>
        <v>12488.579</v>
      </c>
      <c r="P346" s="49">
        <f>+O346</f>
        <v>12488.579</v>
      </c>
      <c r="Q346" s="49">
        <f t="shared" ref="Q346:AA347" si="185">+P346</f>
        <v>12488.579</v>
      </c>
      <c r="R346" s="49">
        <f t="shared" si="185"/>
        <v>12488.579</v>
      </c>
      <c r="S346" s="49">
        <f t="shared" si="185"/>
        <v>12488.579</v>
      </c>
      <c r="T346" s="49">
        <f t="shared" si="185"/>
        <v>12488.579</v>
      </c>
      <c r="U346" s="49">
        <f t="shared" si="185"/>
        <v>12488.579</v>
      </c>
      <c r="V346" s="49">
        <f t="shared" si="185"/>
        <v>12488.579</v>
      </c>
      <c r="W346" s="49">
        <f t="shared" si="185"/>
        <v>12488.579</v>
      </c>
      <c r="X346" s="49">
        <f t="shared" si="185"/>
        <v>12488.579</v>
      </c>
      <c r="Y346" s="49">
        <f t="shared" si="185"/>
        <v>12488.579</v>
      </c>
      <c r="Z346" s="49">
        <f t="shared" si="185"/>
        <v>12488.579</v>
      </c>
      <c r="AA346" s="49">
        <f t="shared" si="185"/>
        <v>12488.579</v>
      </c>
    </row>
    <row r="347" spans="2:27" x14ac:dyDescent="0.3">
      <c r="B347" s="47" t="s">
        <v>341</v>
      </c>
      <c r="C347" s="227">
        <v>2016</v>
      </c>
      <c r="D347" s="426">
        <v>24</v>
      </c>
      <c r="E347" s="110">
        <v>0.35</v>
      </c>
      <c r="F347" s="47"/>
      <c r="G347" s="49">
        <v>0</v>
      </c>
      <c r="H347" s="49">
        <v>0</v>
      </c>
      <c r="I347" s="49">
        <v>0</v>
      </c>
      <c r="J347" s="49">
        <v>0</v>
      </c>
      <c r="K347" s="49">
        <v>0</v>
      </c>
      <c r="L347" s="49">
        <v>0</v>
      </c>
      <c r="M347" s="49">
        <v>21704.071000000004</v>
      </c>
      <c r="N347" s="49">
        <v>47894.7</v>
      </c>
      <c r="O347" s="49">
        <f>+D347*8760*E347</f>
        <v>73584</v>
      </c>
      <c r="P347" s="49">
        <f>+O347</f>
        <v>73584</v>
      </c>
      <c r="Q347" s="49">
        <f t="shared" si="185"/>
        <v>73584</v>
      </c>
      <c r="R347" s="49">
        <f t="shared" si="185"/>
        <v>73584</v>
      </c>
      <c r="S347" s="49">
        <f t="shared" si="185"/>
        <v>73584</v>
      </c>
      <c r="T347" s="49">
        <f t="shared" si="185"/>
        <v>73584</v>
      </c>
      <c r="U347" s="49">
        <f t="shared" si="185"/>
        <v>73584</v>
      </c>
      <c r="V347" s="49">
        <f t="shared" si="185"/>
        <v>73584</v>
      </c>
      <c r="W347" s="49">
        <f t="shared" si="185"/>
        <v>73584</v>
      </c>
      <c r="X347" s="49">
        <f t="shared" si="185"/>
        <v>73584</v>
      </c>
      <c r="Y347" s="49">
        <f t="shared" si="185"/>
        <v>73584</v>
      </c>
      <c r="Z347" s="49">
        <f t="shared" si="185"/>
        <v>73584</v>
      </c>
      <c r="AA347" s="49">
        <f t="shared" si="185"/>
        <v>73584</v>
      </c>
    </row>
  </sheetData>
  <conditionalFormatting sqref="F191:F258">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6633"/>
  </sheetPr>
  <dimension ref="B2:Z104"/>
  <sheetViews>
    <sheetView zoomScale="70" zoomScaleNormal="70" workbookViewId="0">
      <selection activeCell="D8" sqref="D8"/>
    </sheetView>
  </sheetViews>
  <sheetFormatPr baseColWidth="10" defaultColWidth="8.88671875" defaultRowHeight="14.4" x14ac:dyDescent="0.3"/>
  <cols>
    <col min="1" max="3" width="8.88671875" style="1"/>
    <col min="4" max="4" width="25" style="1" customWidth="1"/>
    <col min="5" max="5" width="12.5546875" style="1" customWidth="1"/>
    <col min="6" max="6" width="13.109375" style="1" bestFit="1" customWidth="1"/>
    <col min="7" max="9" width="13.44140625" style="1" bestFit="1" customWidth="1"/>
    <col min="10" max="10" width="12.5546875" style="1" bestFit="1" customWidth="1"/>
    <col min="11" max="11" width="12.33203125" style="1" bestFit="1" customWidth="1"/>
    <col min="12" max="13" width="13.44140625" style="1" bestFit="1" customWidth="1"/>
    <col min="14" max="14" width="12.88671875" style="1" bestFit="1" customWidth="1"/>
    <col min="15" max="15" width="12.5546875" style="1" bestFit="1" customWidth="1"/>
    <col min="16" max="16" width="12.88671875" style="1" bestFit="1" customWidth="1"/>
    <col min="17" max="17" width="13.109375" style="1" bestFit="1" customWidth="1"/>
    <col min="18" max="22" width="12.88671875" style="1" bestFit="1" customWidth="1"/>
    <col min="23" max="23" width="13.44140625" style="1" bestFit="1" customWidth="1"/>
    <col min="24" max="24" width="12.88671875" style="1" bestFit="1" customWidth="1"/>
    <col min="25" max="25" width="13.109375" style="1" bestFit="1" customWidth="1"/>
    <col min="26" max="16384" width="8.88671875" style="1"/>
  </cols>
  <sheetData>
    <row r="2" spans="2:26" ht="23.4" x14ac:dyDescent="0.45">
      <c r="B2" s="477"/>
    </row>
    <row r="3" spans="2:26" ht="23.4" x14ac:dyDescent="0.45">
      <c r="B3" s="477" t="s">
        <v>488</v>
      </c>
    </row>
    <row r="5" spans="2:26" ht="18" x14ac:dyDescent="0.35">
      <c r="D5" s="489" t="s">
        <v>487</v>
      </c>
    </row>
    <row r="7" spans="2:26" x14ac:dyDescent="0.3">
      <c r="D7" s="439" t="s">
        <v>54</v>
      </c>
      <c r="E7" s="486">
        <v>2010</v>
      </c>
      <c r="F7" s="487">
        <v>2011</v>
      </c>
      <c r="G7" s="487">
        <v>2012</v>
      </c>
      <c r="H7" s="487">
        <v>2013</v>
      </c>
      <c r="I7" s="487">
        <v>2014</v>
      </c>
      <c r="J7" s="487">
        <v>2015</v>
      </c>
      <c r="K7" s="487">
        <v>2016</v>
      </c>
      <c r="L7" s="487">
        <v>2017</v>
      </c>
      <c r="M7" s="487">
        <v>2018</v>
      </c>
      <c r="N7" s="487">
        <v>2019</v>
      </c>
      <c r="O7" s="487">
        <v>2020</v>
      </c>
      <c r="P7" s="487">
        <v>2021</v>
      </c>
      <c r="Q7" s="487">
        <v>2022</v>
      </c>
      <c r="R7" s="487">
        <v>2023</v>
      </c>
      <c r="S7" s="487">
        <v>2024</v>
      </c>
      <c r="T7" s="487">
        <v>2025</v>
      </c>
      <c r="U7" s="487">
        <v>2026</v>
      </c>
      <c r="V7" s="487">
        <v>2027</v>
      </c>
      <c r="W7" s="487">
        <v>2028</v>
      </c>
      <c r="X7" s="487">
        <v>2029</v>
      </c>
      <c r="Y7" s="488">
        <v>2030</v>
      </c>
    </row>
    <row r="8" spans="2:26" x14ac:dyDescent="0.3">
      <c r="D8" s="480" t="s">
        <v>425</v>
      </c>
      <c r="E8" s="140">
        <f>+Scenario_Current_Demand!G190</f>
        <v>2151428.9800358461</v>
      </c>
      <c r="F8" s="140">
        <f>+Scenario_Current_Demand!H190</f>
        <v>2324105.4636729998</v>
      </c>
      <c r="G8" s="140">
        <f>+Scenario_Current_Demand!I190</f>
        <v>2322084.4652733332</v>
      </c>
      <c r="H8" s="140">
        <f>+Scenario_Current_Demand!J190</f>
        <v>2514863.618699627</v>
      </c>
      <c r="I8" s="140">
        <f>+Scenario_Current_Demand!K190</f>
        <v>2232992.8565350003</v>
      </c>
      <c r="J8" s="140">
        <f>+Scenario_Current_Demand!L190</f>
        <v>2439591.1513262745</v>
      </c>
      <c r="K8" s="140">
        <f>+Scenario_Current_Demand!M190</f>
        <v>1715604.4612500004</v>
      </c>
      <c r="L8" s="140">
        <f>+Scenario_Current_Demand!N190</f>
        <v>2229863.9013999989</v>
      </c>
      <c r="M8" s="140">
        <f>+Scenario_Current_Demand!O190</f>
        <v>2651238.9793254239</v>
      </c>
      <c r="N8" s="140">
        <f>+Scenario_Current_Demand!P190</f>
        <v>2640951.1156587573</v>
      </c>
      <c r="O8" s="140">
        <f>+Scenario_Current_Demand!Q190</f>
        <v>2640951.1156587573</v>
      </c>
      <c r="P8" s="140">
        <f>+Scenario_Current_Demand!R190</f>
        <v>2640951.1156587573</v>
      </c>
      <c r="Q8" s="140">
        <f>+Scenario_Current_Demand!S190</f>
        <v>2640951.1156587573</v>
      </c>
      <c r="R8" s="140">
        <f>+Scenario_Current_Demand!T190</f>
        <v>2640951.1156587573</v>
      </c>
      <c r="S8" s="140">
        <f>+Scenario_Current_Demand!U190</f>
        <v>2640951.1156587573</v>
      </c>
      <c r="T8" s="140">
        <f>+Scenario_Current_Demand!V190</f>
        <v>2640951.1156587573</v>
      </c>
      <c r="U8" s="140">
        <f>+Scenario_Current_Demand!W190</f>
        <v>2640951.1156587573</v>
      </c>
      <c r="V8" s="140">
        <f>+Scenario_Current_Demand!X190</f>
        <v>2640951.1156587573</v>
      </c>
      <c r="W8" s="140">
        <f>+Scenario_Current_Demand!Y190</f>
        <v>2640951.1156587573</v>
      </c>
      <c r="X8" s="140">
        <f>+Scenario_Current_Demand!Z190</f>
        <v>2640951.1156587573</v>
      </c>
      <c r="Y8" s="482">
        <f>+Scenario_Current_Demand!AA190</f>
        <v>2640951.1156587573</v>
      </c>
      <c r="Z8" s="114"/>
    </row>
    <row r="9" spans="2:26" x14ac:dyDescent="0.3">
      <c r="D9" s="481" t="s">
        <v>426</v>
      </c>
      <c r="E9" s="140">
        <f>+Scenario_Current_Demand!G45</f>
        <v>0</v>
      </c>
      <c r="F9" s="140">
        <f>+Scenario_Current_Demand!H45</f>
        <v>0</v>
      </c>
      <c r="G9" s="140">
        <f>+Scenario_Current_Demand!I45</f>
        <v>0</v>
      </c>
      <c r="H9" s="140">
        <f>+Scenario_Current_Demand!J45</f>
        <v>0</v>
      </c>
      <c r="I9" s="140">
        <f>+Scenario_Current_Demand!K45</f>
        <v>0</v>
      </c>
      <c r="J9" s="140">
        <f>+Scenario_Current_Demand!L45</f>
        <v>0</v>
      </c>
      <c r="K9" s="140">
        <f>+Scenario_Current_Demand!M45</f>
        <v>0</v>
      </c>
      <c r="L9" s="140">
        <f>+Scenario_Current_Demand!N45</f>
        <v>0</v>
      </c>
      <c r="M9" s="140">
        <f>+Scenario_Current_Demand!O45</f>
        <v>240900</v>
      </c>
      <c r="N9" s="140">
        <f>+Scenario_Current_Demand!P45</f>
        <v>543120</v>
      </c>
      <c r="O9" s="140">
        <f>+Scenario_Current_Demand!Q45</f>
        <v>543120</v>
      </c>
      <c r="P9" s="140">
        <f>+Scenario_Current_Demand!R45</f>
        <v>2707716</v>
      </c>
      <c r="Q9" s="140">
        <f>+Scenario_Current_Demand!S45</f>
        <v>2707716</v>
      </c>
      <c r="R9" s="140">
        <f>+Scenario_Current_Demand!T45</f>
        <v>2707716</v>
      </c>
      <c r="S9" s="140">
        <f>+Scenario_Current_Demand!U45</f>
        <v>2707716</v>
      </c>
      <c r="T9" s="140">
        <f>+Scenario_Current_Demand!V45</f>
        <v>2707716</v>
      </c>
      <c r="U9" s="140">
        <f>+Scenario_Current_Demand!W45</f>
        <v>2707716</v>
      </c>
      <c r="V9" s="140">
        <f>+Scenario_Current_Demand!X45</f>
        <v>2707716</v>
      </c>
      <c r="W9" s="140">
        <f>+Scenario_Current_Demand!Y45</f>
        <v>2707716</v>
      </c>
      <c r="X9" s="140">
        <f>+Scenario_Current_Demand!Z45</f>
        <v>3802716</v>
      </c>
      <c r="Y9" s="482">
        <f>+Scenario_Current_Demand!AA45</f>
        <v>4196916</v>
      </c>
      <c r="Z9" s="114"/>
    </row>
    <row r="10" spans="2:26" x14ac:dyDescent="0.3">
      <c r="D10" s="481" t="s">
        <v>427</v>
      </c>
      <c r="E10" s="140">
        <f>+Scenario_Current_Demand!G270</f>
        <v>0</v>
      </c>
      <c r="F10" s="140">
        <f>+Scenario_Current_Demand!H270</f>
        <v>0</v>
      </c>
      <c r="G10" s="140">
        <f>+Scenario_Current_Demand!I270</f>
        <v>0</v>
      </c>
      <c r="H10" s="140">
        <f>+Scenario_Current_Demand!J270</f>
        <v>36.528500000000001</v>
      </c>
      <c r="I10" s="140">
        <f>+Scenario_Current_Demand!K270</f>
        <v>8157.7569999999996</v>
      </c>
      <c r="J10" s="140">
        <f>+Scenario_Current_Demand!L270</f>
        <v>11450.126</v>
      </c>
      <c r="K10" s="140">
        <f>+Scenario_Current_Demand!M270</f>
        <v>34911.444000000003</v>
      </c>
      <c r="L10" s="140">
        <f>+Scenario_Current_Demand!N270</f>
        <v>60383.278999999995</v>
      </c>
      <c r="M10" s="140">
        <f>+Scenario_Current_Demand!O270</f>
        <v>86072.578999999998</v>
      </c>
      <c r="N10" s="140">
        <f>+Scenario_Current_Demand!P270</f>
        <v>86072.578999999998</v>
      </c>
      <c r="O10" s="140">
        <f>+Scenario_Current_Demand!Q270</f>
        <v>86072.578999999998</v>
      </c>
      <c r="P10" s="140">
        <f>+Scenario_Current_Demand!R270</f>
        <v>86072.578999999998</v>
      </c>
      <c r="Q10" s="140">
        <f>+Scenario_Current_Demand!S270</f>
        <v>86072.578999999998</v>
      </c>
      <c r="R10" s="140">
        <f>+Scenario_Current_Demand!T270</f>
        <v>86072.578999999998</v>
      </c>
      <c r="S10" s="140">
        <f>+Scenario_Current_Demand!U270</f>
        <v>86072.578999999998</v>
      </c>
      <c r="T10" s="140">
        <f>+Scenario_Current_Demand!V270</f>
        <v>86072.578999999998</v>
      </c>
      <c r="U10" s="140">
        <f>+Scenario_Current_Demand!W270</f>
        <v>86072.578999999998</v>
      </c>
      <c r="V10" s="140">
        <f>+Scenario_Current_Demand!X270</f>
        <v>86072.578999999998</v>
      </c>
      <c r="W10" s="140">
        <f>+Scenario_Current_Demand!Y270</f>
        <v>86072.578999999998</v>
      </c>
      <c r="X10" s="140">
        <f>+Scenario_Current_Demand!Z270</f>
        <v>86072.578999999998</v>
      </c>
      <c r="Y10" s="482">
        <f>+Scenario_Current_Demand!AA270</f>
        <v>86072.578999999998</v>
      </c>
      <c r="Z10" s="114"/>
    </row>
    <row r="11" spans="2:26" x14ac:dyDescent="0.3">
      <c r="D11" s="481" t="s">
        <v>428</v>
      </c>
      <c r="E11" s="140">
        <f>+Scenario_Current_Demand!G72</f>
        <v>0</v>
      </c>
      <c r="F11" s="140">
        <f>+Scenario_Current_Demand!H72</f>
        <v>0</v>
      </c>
      <c r="G11" s="140">
        <f>+Scenario_Current_Demand!I72</f>
        <v>0</v>
      </c>
      <c r="H11" s="140">
        <f>+Scenario_Current_Demand!J72</f>
        <v>0</v>
      </c>
      <c r="I11" s="140">
        <f>+Scenario_Current_Demand!K72</f>
        <v>0</v>
      </c>
      <c r="J11" s="140">
        <f>+Scenario_Current_Demand!L72</f>
        <v>0</v>
      </c>
      <c r="K11" s="140">
        <f>+Scenario_Current_Demand!M72</f>
        <v>0</v>
      </c>
      <c r="L11" s="140">
        <f>+Scenario_Current_Demand!N72</f>
        <v>0</v>
      </c>
      <c r="M11" s="140">
        <f>+Scenario_Current_Demand!O72</f>
        <v>0</v>
      </c>
      <c r="N11" s="140">
        <f>+Scenario_Current_Demand!P72</f>
        <v>0</v>
      </c>
      <c r="O11" s="140">
        <f>+Scenario_Current_Demand!Q72</f>
        <v>331128</v>
      </c>
      <c r="P11" s="140">
        <f>+Scenario_Current_Demand!R72</f>
        <v>469098</v>
      </c>
      <c r="Q11" s="140">
        <f>+Scenario_Current_Demand!S72</f>
        <v>469098</v>
      </c>
      <c r="R11" s="140">
        <f>+Scenario_Current_Demand!T72</f>
        <v>469098</v>
      </c>
      <c r="S11" s="140">
        <f>+Scenario_Current_Demand!U72</f>
        <v>469098</v>
      </c>
      <c r="T11" s="140">
        <f>+Scenario_Current_Demand!V72</f>
        <v>469098</v>
      </c>
      <c r="U11" s="140">
        <f>+Scenario_Current_Demand!W72</f>
        <v>469098</v>
      </c>
      <c r="V11" s="140">
        <f>+Scenario_Current_Demand!X72</f>
        <v>469098</v>
      </c>
      <c r="W11" s="140">
        <f>+Scenario_Current_Demand!Y72</f>
        <v>469098</v>
      </c>
      <c r="X11" s="140">
        <f>+Scenario_Current_Demand!Z72</f>
        <v>469098</v>
      </c>
      <c r="Y11" s="482">
        <f>+Scenario_Current_Demand!AA72</f>
        <v>469098</v>
      </c>
      <c r="Z11" s="114"/>
    </row>
    <row r="12" spans="2:26" x14ac:dyDescent="0.3">
      <c r="D12" s="481" t="s">
        <v>429</v>
      </c>
      <c r="E12" s="140">
        <f>+Scenario_Current_Demand!G90</f>
        <v>0</v>
      </c>
      <c r="F12" s="140">
        <f>+Scenario_Current_Demand!H90</f>
        <v>0</v>
      </c>
      <c r="G12" s="140">
        <f>+Scenario_Current_Demand!I90</f>
        <v>0</v>
      </c>
      <c r="H12" s="140">
        <f>+Scenario_Current_Demand!J90</f>
        <v>0</v>
      </c>
      <c r="I12" s="140">
        <f>+Scenario_Current_Demand!K90</f>
        <v>0</v>
      </c>
      <c r="J12" s="140">
        <f>+Scenario_Current_Demand!L90</f>
        <v>0</v>
      </c>
      <c r="K12" s="140">
        <f>+Scenario_Current_Demand!M90</f>
        <v>0</v>
      </c>
      <c r="L12" s="140">
        <f>+Scenario_Current_Demand!N90</f>
        <v>0</v>
      </c>
      <c r="M12" s="140">
        <f>+Scenario_Current_Demand!O90</f>
        <v>136656</v>
      </c>
      <c r="N12" s="140">
        <f>+Scenario_Current_Demand!P90</f>
        <v>346896</v>
      </c>
      <c r="O12" s="140">
        <f>+Scenario_Current_Demand!Q90</f>
        <v>346896</v>
      </c>
      <c r="P12" s="140">
        <f>+Scenario_Current_Demand!R90</f>
        <v>346896</v>
      </c>
      <c r="Q12" s="140">
        <f>+Scenario_Current_Demand!S90</f>
        <v>346896</v>
      </c>
      <c r="R12" s="140">
        <f>+Scenario_Current_Demand!T90</f>
        <v>346896</v>
      </c>
      <c r="S12" s="140">
        <f>+Scenario_Current_Demand!U90</f>
        <v>346896</v>
      </c>
      <c r="T12" s="140">
        <f>+Scenario_Current_Demand!V90</f>
        <v>346896</v>
      </c>
      <c r="U12" s="140">
        <f>+Scenario_Current_Demand!W90</f>
        <v>346896</v>
      </c>
      <c r="V12" s="140">
        <f>+Scenario_Current_Demand!X90</f>
        <v>346896</v>
      </c>
      <c r="W12" s="140">
        <f>+Scenario_Current_Demand!Y90</f>
        <v>346896</v>
      </c>
      <c r="X12" s="140">
        <f>+Scenario_Current_Demand!Z90</f>
        <v>346896</v>
      </c>
      <c r="Y12" s="482">
        <f>+Scenario_Current_Demand!AA90</f>
        <v>346896</v>
      </c>
      <c r="Z12" s="114"/>
    </row>
    <row r="13" spans="2:26" x14ac:dyDescent="0.3">
      <c r="D13" s="481" t="s">
        <v>430</v>
      </c>
      <c r="E13" s="140">
        <f>+Scenario_Current_Demand!G262</f>
        <v>58156.17</v>
      </c>
      <c r="F13" s="140">
        <f>+Scenario_Current_Demand!H262</f>
        <v>64040.52</v>
      </c>
      <c r="G13" s="140">
        <f>+Scenario_Current_Demand!I262</f>
        <v>64494.2</v>
      </c>
      <c r="H13" s="140">
        <f>+Scenario_Current_Demand!J262</f>
        <v>79491</v>
      </c>
      <c r="I13" s="140">
        <f>+Scenario_Current_Demand!K262</f>
        <v>76309.624999999985</v>
      </c>
      <c r="J13" s="140">
        <f>+Scenario_Current_Demand!L262</f>
        <v>79093.507500000007</v>
      </c>
      <c r="K13" s="140">
        <f>+Scenario_Current_Demand!M262</f>
        <v>61193.049750000006</v>
      </c>
      <c r="L13" s="140">
        <f>+Scenario_Current_Demand!N262</f>
        <v>44047.566999999995</v>
      </c>
      <c r="M13" s="140">
        <f>+Scenario_Current_Demand!O262</f>
        <v>61776.900333333338</v>
      </c>
      <c r="N13" s="140">
        <f>+Scenario_Current_Demand!P262</f>
        <v>61776.900333333338</v>
      </c>
      <c r="O13" s="140">
        <f>+Scenario_Current_Demand!Q262</f>
        <v>61776.900333333338</v>
      </c>
      <c r="P13" s="140">
        <f>+Scenario_Current_Demand!R262</f>
        <v>61776.900333333338</v>
      </c>
      <c r="Q13" s="140">
        <f>+Scenario_Current_Demand!S262</f>
        <v>61776.900333333338</v>
      </c>
      <c r="R13" s="140">
        <f>+Scenario_Current_Demand!T262</f>
        <v>61776.900333333338</v>
      </c>
      <c r="S13" s="140">
        <f>+Scenario_Current_Demand!U262</f>
        <v>61776.900333333338</v>
      </c>
      <c r="T13" s="140">
        <f>+Scenario_Current_Demand!V262</f>
        <v>61776.900333333338</v>
      </c>
      <c r="U13" s="140">
        <f>+Scenario_Current_Demand!W262</f>
        <v>61776.900333333338</v>
      </c>
      <c r="V13" s="140">
        <f>+Scenario_Current_Demand!X262</f>
        <v>61776.900333333338</v>
      </c>
      <c r="W13" s="140">
        <f>+Scenario_Current_Demand!Y262</f>
        <v>61776.900333333338</v>
      </c>
      <c r="X13" s="140">
        <f>+Scenario_Current_Demand!Z262</f>
        <v>61776.900333333338</v>
      </c>
      <c r="Y13" s="482">
        <f>+Scenario_Current_Demand!AA262</f>
        <v>61776.900333333338</v>
      </c>
      <c r="Z13" s="114"/>
    </row>
    <row r="14" spans="2:26" x14ac:dyDescent="0.3">
      <c r="D14" s="481" t="s">
        <v>431</v>
      </c>
      <c r="E14" s="140"/>
      <c r="F14" s="140"/>
      <c r="G14" s="140"/>
      <c r="H14" s="140"/>
      <c r="I14" s="140"/>
      <c r="J14" s="140"/>
      <c r="K14" s="140"/>
      <c r="L14" s="140"/>
      <c r="M14" s="140"/>
      <c r="N14" s="140"/>
      <c r="O14" s="140"/>
      <c r="P14" s="140"/>
      <c r="Q14" s="140"/>
      <c r="R14" s="140"/>
      <c r="S14" s="140"/>
      <c r="T14" s="140"/>
      <c r="U14" s="140"/>
      <c r="V14" s="140"/>
      <c r="W14" s="140"/>
      <c r="X14" s="140"/>
      <c r="Y14" s="482"/>
    </row>
    <row r="15" spans="2:26" x14ac:dyDescent="0.3">
      <c r="D15" s="481" t="s">
        <v>440</v>
      </c>
      <c r="E15" s="140">
        <f>+Scenario_Current_Demand!G107</f>
        <v>0</v>
      </c>
      <c r="F15" s="140">
        <f>+Scenario_Current_Demand!H107</f>
        <v>0</v>
      </c>
      <c r="G15" s="140">
        <f>+Scenario_Current_Demand!I107</f>
        <v>0</v>
      </c>
      <c r="H15" s="140">
        <f>+Scenario_Current_Demand!J107</f>
        <v>0</v>
      </c>
      <c r="I15" s="140">
        <f>+Scenario_Current_Demand!K107</f>
        <v>0</v>
      </c>
      <c r="J15" s="140">
        <f>+Scenario_Current_Demand!L107</f>
        <v>0</v>
      </c>
      <c r="K15" s="140">
        <f>+Scenario_Current_Demand!M107</f>
        <v>0</v>
      </c>
      <c r="L15" s="140">
        <f>+Scenario_Current_Demand!N107</f>
        <v>0</v>
      </c>
      <c r="M15" s="140">
        <f>+Scenario_Current_Demand!O107</f>
        <v>0</v>
      </c>
      <c r="N15" s="140">
        <f>+Scenario_Current_Demand!P107</f>
        <v>0</v>
      </c>
      <c r="O15" s="140">
        <f>+Scenario_Current_Demand!Q107</f>
        <v>37230</v>
      </c>
      <c r="P15" s="140">
        <f>+Scenario_Current_Demand!R107</f>
        <v>37230</v>
      </c>
      <c r="Q15" s="140">
        <f>+Scenario_Current_Demand!S107</f>
        <v>37230</v>
      </c>
      <c r="R15" s="140">
        <f>+Scenario_Current_Demand!T107</f>
        <v>37230</v>
      </c>
      <c r="S15" s="140">
        <f>+Scenario_Current_Demand!U107</f>
        <v>37230</v>
      </c>
      <c r="T15" s="140">
        <f>+Scenario_Current_Demand!V107</f>
        <v>37230</v>
      </c>
      <c r="U15" s="140">
        <f>+Scenario_Current_Demand!W107</f>
        <v>37230</v>
      </c>
      <c r="V15" s="140">
        <f>+Scenario_Current_Demand!X107</f>
        <v>37230</v>
      </c>
      <c r="W15" s="140">
        <f>+Scenario_Current_Demand!Y107</f>
        <v>37230</v>
      </c>
      <c r="X15" s="140">
        <f>+Scenario_Current_Demand!Z107</f>
        <v>37230</v>
      </c>
      <c r="Y15" s="482">
        <f>+Scenario_Current_Demand!AA107</f>
        <v>37230</v>
      </c>
      <c r="Z15" s="114"/>
    </row>
    <row r="16" spans="2:26" x14ac:dyDescent="0.3">
      <c r="D16" s="481" t="s">
        <v>432</v>
      </c>
      <c r="E16" s="140">
        <f>+Scenario_Current_Demand!G118</f>
        <v>3875855.7150321514</v>
      </c>
      <c r="F16" s="140">
        <f>+Scenario_Current_Demand!H118</f>
        <v>4204795.5495570004</v>
      </c>
      <c r="G16" s="140">
        <f>+Scenario_Current_Demand!I118</f>
        <v>4475347.2606733171</v>
      </c>
      <c r="H16" s="140">
        <f>+Scenario_Current_Demand!J118</f>
        <v>4692441.8888248773</v>
      </c>
      <c r="I16" s="140">
        <f>+Scenario_Current_Demand!K118</f>
        <v>5426028.4641763652</v>
      </c>
      <c r="J16" s="140">
        <f>+Scenario_Current_Demand!L118</f>
        <v>5718182.0382411722</v>
      </c>
      <c r="K16" s="140">
        <f>+Scenario_Current_Demand!M118</f>
        <v>6857813.3036782192</v>
      </c>
      <c r="L16" s="140">
        <f>+Scenario_Current_Demand!N118</f>
        <v>6556082.4895821987</v>
      </c>
      <c r="M16" s="140">
        <f>+Scenario_Current_Demand!O118</f>
        <v>6298859.812753248</v>
      </c>
      <c r="N16" s="140">
        <f>+Scenario_Current_Demand!P118</f>
        <v>799722.24241293105</v>
      </c>
      <c r="O16" s="140">
        <f>+Scenario_Current_Demand!Q118</f>
        <v>0</v>
      </c>
      <c r="P16" s="140">
        <f>+Scenario_Current_Demand!R118</f>
        <v>0</v>
      </c>
      <c r="Q16" s="140">
        <f>+Scenario_Current_Demand!S118</f>
        <v>0</v>
      </c>
      <c r="R16" s="140">
        <f>+Scenario_Current_Demand!T118</f>
        <v>0</v>
      </c>
      <c r="S16" s="140">
        <f>+Scenario_Current_Demand!U118</f>
        <v>0</v>
      </c>
      <c r="T16" s="140">
        <f>+Scenario_Current_Demand!V118</f>
        <v>189084.27459123899</v>
      </c>
      <c r="U16" s="140">
        <f>+Scenario_Current_Demand!W118</f>
        <v>1150563.4412579094</v>
      </c>
      <c r="V16" s="140">
        <f>+Scenario_Current_Demand!X118</f>
        <v>2166011.3579245759</v>
      </c>
      <c r="W16" s="140">
        <f>+Scenario_Current_Demand!Y118</f>
        <v>3238282.1912579113</v>
      </c>
      <c r="X16" s="140">
        <f>+Scenario_Current_Demand!Z118</f>
        <v>3275365.5245912462</v>
      </c>
      <c r="Y16" s="482">
        <f>+Scenario_Current_Demand!AA118</f>
        <v>4076248.857924575</v>
      </c>
      <c r="Z16" s="114"/>
    </row>
    <row r="17" spans="4:26" x14ac:dyDescent="0.3">
      <c r="D17" s="483" t="s">
        <v>433</v>
      </c>
      <c r="E17" s="484">
        <f>+Scenario_Current_Demand!G28</f>
        <v>0</v>
      </c>
      <c r="F17" s="484">
        <f>+Scenario_Current_Demand!H28</f>
        <v>0</v>
      </c>
      <c r="G17" s="484">
        <f>+Scenario_Current_Demand!I28</f>
        <v>0</v>
      </c>
      <c r="H17" s="484">
        <f>+Scenario_Current_Demand!J28</f>
        <v>0</v>
      </c>
      <c r="I17" s="484">
        <f>+Scenario_Current_Demand!K28</f>
        <v>0</v>
      </c>
      <c r="J17" s="484">
        <f>+Scenario_Current_Demand!L28</f>
        <v>0</v>
      </c>
      <c r="K17" s="484">
        <f>+Scenario_Current_Demand!M28</f>
        <v>0</v>
      </c>
      <c r="L17" s="484">
        <f>+Scenario_Current_Demand!N28</f>
        <v>0</v>
      </c>
      <c r="M17" s="484">
        <f>+Scenario_Current_Demand!O28</f>
        <v>0</v>
      </c>
      <c r="N17" s="484">
        <f>+Scenario_Current_Demand!P28</f>
        <v>5794004.1599999992</v>
      </c>
      <c r="O17" s="484">
        <f>+Scenario_Current_Demand!Q28</f>
        <v>7047060.8569862628</v>
      </c>
      <c r="P17" s="484">
        <f>+Scenario_Current_Demand!R28</f>
        <v>5908458.371674574</v>
      </c>
      <c r="Q17" s="484">
        <f>+Scenario_Current_Demand!S28</f>
        <v>6680784.4445912428</v>
      </c>
      <c r="R17" s="484">
        <f>+Scenario_Current_Demand!T28</f>
        <v>7496096.9445912447</v>
      </c>
      <c r="S17" s="484">
        <f>+Scenario_Current_Demand!U28</f>
        <v>8357638.6112579079</v>
      </c>
      <c r="T17" s="484">
        <f>+Scenario_Current_Demand!V28</f>
        <v>9078793.9199999999</v>
      </c>
      <c r="U17" s="484">
        <f>+Scenario_Current_Demand!W28</f>
        <v>9078793.9199999999</v>
      </c>
      <c r="V17" s="484">
        <f>+Scenario_Current_Demand!X28</f>
        <v>9078793.9199999999</v>
      </c>
      <c r="W17" s="484">
        <f>+Scenario_Current_Demand!Y28</f>
        <v>9078793.9199999999</v>
      </c>
      <c r="X17" s="484">
        <f>+Scenario_Current_Demand!Z28</f>
        <v>9078793.9199999999</v>
      </c>
      <c r="Y17" s="485">
        <f>+Scenario_Current_Demand!AA28</f>
        <v>9078793.9199999999</v>
      </c>
      <c r="Z17" s="114"/>
    </row>
    <row r="18" spans="4:26" x14ac:dyDescent="0.3">
      <c r="E18" s="114"/>
      <c r="F18" s="114"/>
      <c r="G18" s="114"/>
      <c r="H18" s="114"/>
      <c r="I18" s="114"/>
      <c r="J18" s="114"/>
      <c r="K18" s="114"/>
      <c r="L18" s="114"/>
      <c r="M18" s="114"/>
      <c r="N18" s="114"/>
      <c r="O18" s="114"/>
      <c r="P18" s="114"/>
      <c r="Q18" s="114"/>
      <c r="R18" s="114"/>
      <c r="S18" s="114"/>
      <c r="T18" s="114"/>
      <c r="U18" s="114"/>
      <c r="V18" s="114"/>
      <c r="W18" s="114"/>
      <c r="X18" s="114"/>
      <c r="Y18" s="114"/>
      <c r="Z18" s="114"/>
    </row>
    <row r="48" spans="4:4" ht="18" x14ac:dyDescent="0.35">
      <c r="D48" s="489" t="s">
        <v>489</v>
      </c>
    </row>
    <row r="50" spans="4:26" x14ac:dyDescent="0.3">
      <c r="D50" s="439" t="s">
        <v>54</v>
      </c>
      <c r="E50" s="486">
        <v>2010</v>
      </c>
      <c r="F50" s="487">
        <v>2011</v>
      </c>
      <c r="G50" s="487">
        <v>2012</v>
      </c>
      <c r="H50" s="487">
        <v>2013</v>
      </c>
      <c r="I50" s="487">
        <v>2014</v>
      </c>
      <c r="J50" s="487">
        <v>2015</v>
      </c>
      <c r="K50" s="487">
        <v>2016</v>
      </c>
      <c r="L50" s="487">
        <v>2017</v>
      </c>
      <c r="M50" s="487">
        <v>2018</v>
      </c>
      <c r="N50" s="487">
        <v>2019</v>
      </c>
      <c r="O50" s="487">
        <v>2020</v>
      </c>
      <c r="P50" s="487">
        <v>2021</v>
      </c>
      <c r="Q50" s="487">
        <v>2022</v>
      </c>
      <c r="R50" s="487">
        <v>2023</v>
      </c>
      <c r="S50" s="487">
        <v>2024</v>
      </c>
      <c r="T50" s="487">
        <v>2025</v>
      </c>
      <c r="U50" s="487">
        <v>2026</v>
      </c>
      <c r="V50" s="487">
        <v>2027</v>
      </c>
      <c r="W50" s="487">
        <v>2028</v>
      </c>
      <c r="X50" s="487">
        <v>2029</v>
      </c>
      <c r="Y50" s="488">
        <v>2030</v>
      </c>
    </row>
    <row r="51" spans="4:26" x14ac:dyDescent="0.3">
      <c r="D51" s="480" t="s">
        <v>425</v>
      </c>
      <c r="E51" s="140">
        <f>+Scenario_NDC!G262</f>
        <v>2151428.9800358461</v>
      </c>
      <c r="F51" s="140">
        <f>+Scenario_NDC!H262</f>
        <v>2324105.4636729998</v>
      </c>
      <c r="G51" s="140">
        <f>+Scenario_NDC!I262</f>
        <v>2322084.4652733332</v>
      </c>
      <c r="H51" s="140">
        <f>+Scenario_NDC!J262</f>
        <v>2514863.618699627</v>
      </c>
      <c r="I51" s="140">
        <f>+Scenario_NDC!K262</f>
        <v>2232992.8565350003</v>
      </c>
      <c r="J51" s="140">
        <f>+Scenario_NDC!L262</f>
        <v>2439591.1513262745</v>
      </c>
      <c r="K51" s="140">
        <f>+Scenario_NDC!M262</f>
        <v>1715604.4612500004</v>
      </c>
      <c r="L51" s="140">
        <f>+Scenario_NDC!N262</f>
        <v>2229863.9013999989</v>
      </c>
      <c r="M51" s="140">
        <f>+Scenario_NDC!O262</f>
        <v>2651238.9793254239</v>
      </c>
      <c r="N51" s="140">
        <f>+Scenario_NDC!P262</f>
        <v>2640951.1156587573</v>
      </c>
      <c r="O51" s="140">
        <f>+Scenario_NDC!Q262</f>
        <v>2640951.1156587573</v>
      </c>
      <c r="P51" s="140">
        <f>+Scenario_NDC!R262</f>
        <v>2640951.1156587573</v>
      </c>
      <c r="Q51" s="140">
        <f>+Scenario_NDC!S262</f>
        <v>2640951.1156587573</v>
      </c>
      <c r="R51" s="140">
        <f>+Scenario_NDC!T262</f>
        <v>2640951.1156587573</v>
      </c>
      <c r="S51" s="140">
        <f>+Scenario_NDC!U262</f>
        <v>2640951.1156587573</v>
      </c>
      <c r="T51" s="140">
        <f>+Scenario_NDC!V262</f>
        <v>2640951.1156587573</v>
      </c>
      <c r="U51" s="140">
        <f>+Scenario_NDC!W262</f>
        <v>2640951.1156587573</v>
      </c>
      <c r="V51" s="140">
        <f>+Scenario_NDC!X262</f>
        <v>2640951.1156587573</v>
      </c>
      <c r="W51" s="140">
        <f>+Scenario_NDC!Y262</f>
        <v>2640951.1156587573</v>
      </c>
      <c r="X51" s="140">
        <f>+Scenario_NDC!Z262</f>
        <v>2640951.1156587573</v>
      </c>
      <c r="Y51" s="482">
        <f>+Scenario_NDC!AA262</f>
        <v>2640951.1156587573</v>
      </c>
      <c r="Z51" s="114"/>
    </row>
    <row r="52" spans="4:26" x14ac:dyDescent="0.3">
      <c r="D52" s="481" t="s">
        <v>426</v>
      </c>
      <c r="E52" s="140">
        <f>+Scenario_NDC!G82</f>
        <v>0</v>
      </c>
      <c r="F52" s="140">
        <f>+Scenario_NDC!H82</f>
        <v>0</v>
      </c>
      <c r="G52" s="140">
        <f>+Scenario_NDC!I82</f>
        <v>0</v>
      </c>
      <c r="H52" s="140">
        <f>+Scenario_NDC!J82</f>
        <v>0</v>
      </c>
      <c r="I52" s="140">
        <f>+Scenario_NDC!K82</f>
        <v>0</v>
      </c>
      <c r="J52" s="140">
        <f>+Scenario_NDC!L82</f>
        <v>0</v>
      </c>
      <c r="K52" s="140">
        <f>+Scenario_NDC!M82</f>
        <v>0</v>
      </c>
      <c r="L52" s="140">
        <f>+Scenario_NDC!N82</f>
        <v>0</v>
      </c>
      <c r="M52" s="140">
        <f>+Scenario_NDC!O82</f>
        <v>240900</v>
      </c>
      <c r="N52" s="140">
        <f>+Scenario_NDC!P82</f>
        <v>543120</v>
      </c>
      <c r="O52" s="140">
        <f>+Scenario_NDC!Q82</f>
        <v>2938542</v>
      </c>
      <c r="P52" s="140">
        <f>+Scenario_NDC!R82</f>
        <v>5103138</v>
      </c>
      <c r="Q52" s="140">
        <f>+Scenario_NDC!S82</f>
        <v>5103138</v>
      </c>
      <c r="R52" s="140">
        <f>+Scenario_NDC!T82</f>
        <v>5103138</v>
      </c>
      <c r="S52" s="140">
        <f>+Scenario_NDC!U82</f>
        <v>5103138</v>
      </c>
      <c r="T52" s="140">
        <f>+Scenario_NDC!V82</f>
        <v>11200098</v>
      </c>
      <c r="U52" s="140">
        <f>+Scenario_NDC!W82</f>
        <v>11200098</v>
      </c>
      <c r="V52" s="140">
        <f>+Scenario_NDC!X82</f>
        <v>11200098</v>
      </c>
      <c r="W52" s="140">
        <f>+Scenario_NDC!Y82</f>
        <v>11200098</v>
      </c>
      <c r="X52" s="140">
        <f>+Scenario_NDC!Z82</f>
        <v>33205611.600000001</v>
      </c>
      <c r="Y52" s="482">
        <f>+Scenario_NDC!AA82</f>
        <v>40564011.600000001</v>
      </c>
      <c r="Z52" s="114"/>
    </row>
    <row r="53" spans="4:26" x14ac:dyDescent="0.3">
      <c r="D53" s="481" t="s">
        <v>427</v>
      </c>
      <c r="E53" s="140">
        <f>+Scenario_NDC!G344</f>
        <v>0</v>
      </c>
      <c r="F53" s="140">
        <f>+Scenario_NDC!H344</f>
        <v>0</v>
      </c>
      <c r="G53" s="140">
        <f>+Scenario_NDC!I344</f>
        <v>0</v>
      </c>
      <c r="H53" s="140">
        <f>+Scenario_NDC!J344</f>
        <v>36.528500000000001</v>
      </c>
      <c r="I53" s="140">
        <f>+Scenario_NDC!K344</f>
        <v>8157.7569999999996</v>
      </c>
      <c r="J53" s="140">
        <f>+Scenario_NDC!L344</f>
        <v>11450.126</v>
      </c>
      <c r="K53" s="140">
        <f>+Scenario_NDC!M344</f>
        <v>34911.444000000003</v>
      </c>
      <c r="L53" s="140">
        <f>+Scenario_NDC!N344</f>
        <v>60383.278999999995</v>
      </c>
      <c r="M53" s="140">
        <f>+Scenario_NDC!O344</f>
        <v>86072.578999999998</v>
      </c>
      <c r="N53" s="140">
        <f>+Scenario_NDC!P344</f>
        <v>86072.578999999998</v>
      </c>
      <c r="O53" s="140">
        <f>+Scenario_NDC!Q344</f>
        <v>86072.578999999998</v>
      </c>
      <c r="P53" s="140">
        <f>+Scenario_NDC!R344</f>
        <v>86072.578999999998</v>
      </c>
      <c r="Q53" s="140">
        <f>+Scenario_NDC!S344</f>
        <v>86072.578999999998</v>
      </c>
      <c r="R53" s="140">
        <f>+Scenario_NDC!T344</f>
        <v>86072.578999999998</v>
      </c>
      <c r="S53" s="140">
        <f>+Scenario_NDC!U344</f>
        <v>86072.578999999998</v>
      </c>
      <c r="T53" s="140">
        <f>+Scenario_NDC!V344</f>
        <v>86072.578999999998</v>
      </c>
      <c r="U53" s="140">
        <f>+Scenario_NDC!W344</f>
        <v>86072.578999999998</v>
      </c>
      <c r="V53" s="140">
        <f>+Scenario_NDC!X344</f>
        <v>86072.578999999998</v>
      </c>
      <c r="W53" s="140">
        <f>+Scenario_NDC!Y344</f>
        <v>86072.578999999998</v>
      </c>
      <c r="X53" s="140">
        <f>+Scenario_NDC!Z344</f>
        <v>86072.578999999998</v>
      </c>
      <c r="Y53" s="482">
        <f>+Scenario_NDC!AA344</f>
        <v>86072.578999999998</v>
      </c>
      <c r="Z53" s="114"/>
    </row>
    <row r="54" spans="4:26" x14ac:dyDescent="0.3">
      <c r="D54" s="481" t="s">
        <v>428</v>
      </c>
      <c r="E54" s="140">
        <f>+Scenario_NDC!G132</f>
        <v>0</v>
      </c>
      <c r="F54" s="140">
        <f>+Scenario_NDC!H132</f>
        <v>0</v>
      </c>
      <c r="G54" s="140">
        <f>+Scenario_NDC!I132</f>
        <v>0</v>
      </c>
      <c r="H54" s="140">
        <f>+Scenario_NDC!J132</f>
        <v>0</v>
      </c>
      <c r="I54" s="140">
        <f>+Scenario_NDC!K132</f>
        <v>0</v>
      </c>
      <c r="J54" s="140">
        <f>+Scenario_NDC!L132</f>
        <v>0</v>
      </c>
      <c r="K54" s="140">
        <f>+Scenario_NDC!M132</f>
        <v>0</v>
      </c>
      <c r="L54" s="140">
        <f>+Scenario_NDC!N132</f>
        <v>0</v>
      </c>
      <c r="M54" s="140">
        <f>+Scenario_NDC!O132</f>
        <v>0</v>
      </c>
      <c r="N54" s="140">
        <f>+Scenario_NDC!P132</f>
        <v>0</v>
      </c>
      <c r="O54" s="140">
        <f>+Scenario_NDC!Q132</f>
        <v>331128</v>
      </c>
      <c r="P54" s="140">
        <f>+Scenario_NDC!R132</f>
        <v>469098</v>
      </c>
      <c r="Q54" s="140">
        <f>+Scenario_NDC!S132</f>
        <v>469098</v>
      </c>
      <c r="R54" s="140">
        <f>+Scenario_NDC!T132</f>
        <v>469098</v>
      </c>
      <c r="S54" s="140">
        <f>+Scenario_NDC!U132</f>
        <v>469098</v>
      </c>
      <c r="T54" s="140">
        <f>+Scenario_NDC!V132</f>
        <v>469098</v>
      </c>
      <c r="U54" s="140">
        <f>+Scenario_NDC!W132</f>
        <v>469098</v>
      </c>
      <c r="V54" s="140">
        <f>+Scenario_NDC!X132</f>
        <v>469098</v>
      </c>
      <c r="W54" s="140">
        <f>+Scenario_NDC!Y132</f>
        <v>469098</v>
      </c>
      <c r="X54" s="140">
        <f>+Scenario_NDC!Z132</f>
        <v>469098</v>
      </c>
      <c r="Y54" s="482">
        <f>+Scenario_NDC!AA132</f>
        <v>1315314</v>
      </c>
      <c r="Z54" s="114"/>
    </row>
    <row r="55" spans="4:26" x14ac:dyDescent="0.3">
      <c r="D55" s="481" t="s">
        <v>429</v>
      </c>
      <c r="E55" s="140">
        <f>+Scenario_NDC!G151</f>
        <v>0</v>
      </c>
      <c r="F55" s="140">
        <f>+Scenario_NDC!H151</f>
        <v>0</v>
      </c>
      <c r="G55" s="140">
        <f>+Scenario_NDC!I151</f>
        <v>0</v>
      </c>
      <c r="H55" s="140">
        <f>+Scenario_NDC!J151</f>
        <v>0</v>
      </c>
      <c r="I55" s="140">
        <f>+Scenario_NDC!K151</f>
        <v>0</v>
      </c>
      <c r="J55" s="140">
        <f>+Scenario_NDC!L151</f>
        <v>0</v>
      </c>
      <c r="K55" s="140">
        <f>+Scenario_NDC!M151</f>
        <v>0</v>
      </c>
      <c r="L55" s="140">
        <f>+Scenario_NDC!N151</f>
        <v>0</v>
      </c>
      <c r="M55" s="140">
        <f>+Scenario_NDC!O151</f>
        <v>136656</v>
      </c>
      <c r="N55" s="140">
        <f>+Scenario_NDC!P151</f>
        <v>346896</v>
      </c>
      <c r="O55" s="140">
        <f>+Scenario_NDC!Q151</f>
        <v>357408</v>
      </c>
      <c r="P55" s="140">
        <f>+Scenario_NDC!R151</f>
        <v>357408</v>
      </c>
      <c r="Q55" s="140">
        <f>+Scenario_NDC!S151</f>
        <v>357408</v>
      </c>
      <c r="R55" s="140">
        <f>+Scenario_NDC!T151</f>
        <v>357408</v>
      </c>
      <c r="S55" s="140">
        <f>+Scenario_NDC!U151</f>
        <v>357408</v>
      </c>
      <c r="T55" s="140">
        <f>+Scenario_NDC!V151</f>
        <v>357408</v>
      </c>
      <c r="U55" s="140">
        <f>+Scenario_NDC!W151</f>
        <v>357408</v>
      </c>
      <c r="V55" s="140">
        <f>+Scenario_NDC!X151</f>
        <v>357408</v>
      </c>
      <c r="W55" s="140">
        <f>+Scenario_NDC!Y151</f>
        <v>357408</v>
      </c>
      <c r="X55" s="140">
        <f>+Scenario_NDC!Z151</f>
        <v>357408</v>
      </c>
      <c r="Y55" s="482">
        <f>+Scenario_NDC!AA151</f>
        <v>777888</v>
      </c>
      <c r="Z55" s="114"/>
    </row>
    <row r="56" spans="4:26" x14ac:dyDescent="0.3">
      <c r="D56" s="481" t="s">
        <v>430</v>
      </c>
      <c r="E56" s="140">
        <f>+Scenario_NDC!G335</f>
        <v>58156.17</v>
      </c>
      <c r="F56" s="140">
        <f>+Scenario_NDC!H335</f>
        <v>64040.52</v>
      </c>
      <c r="G56" s="140">
        <f>+Scenario_NDC!I335</f>
        <v>64494.2</v>
      </c>
      <c r="H56" s="140">
        <f>+Scenario_NDC!J335</f>
        <v>79491</v>
      </c>
      <c r="I56" s="140">
        <f>+Scenario_NDC!K335</f>
        <v>76309.624999999985</v>
      </c>
      <c r="J56" s="140">
        <f>+Scenario_NDC!L335</f>
        <v>79093.507500000007</v>
      </c>
      <c r="K56" s="140">
        <f>+Scenario_NDC!M335</f>
        <v>61193.049750000006</v>
      </c>
      <c r="L56" s="140">
        <f>+Scenario_NDC!N335</f>
        <v>44047.566999999995</v>
      </c>
      <c r="M56" s="140">
        <f>+Scenario_NDC!O335</f>
        <v>61776.900333333338</v>
      </c>
      <c r="N56" s="140">
        <f>+Scenario_NDC!P335</f>
        <v>61776.900333333338</v>
      </c>
      <c r="O56" s="140">
        <f>+Scenario_NDC!Q335</f>
        <v>61776.900333333338</v>
      </c>
      <c r="P56" s="140">
        <f>+Scenario_NDC!R335</f>
        <v>61776.900333333338</v>
      </c>
      <c r="Q56" s="140">
        <f>+Scenario_NDC!S335</f>
        <v>61776.900333333338</v>
      </c>
      <c r="R56" s="140">
        <f>+Scenario_NDC!T335</f>
        <v>61776.900333333338</v>
      </c>
      <c r="S56" s="140">
        <f>+Scenario_NDC!U335</f>
        <v>61776.900333333338</v>
      </c>
      <c r="T56" s="140">
        <f>+Scenario_NDC!V335</f>
        <v>61776.900333333338</v>
      </c>
      <c r="U56" s="140">
        <f>+Scenario_NDC!W335</f>
        <v>61776.900333333338</v>
      </c>
      <c r="V56" s="140">
        <f>+Scenario_NDC!X335</f>
        <v>61776.900333333338</v>
      </c>
      <c r="W56" s="140">
        <f>+Scenario_NDC!Y335</f>
        <v>61776.900333333338</v>
      </c>
      <c r="X56" s="140">
        <f>+Scenario_NDC!Z335</f>
        <v>61776.900333333338</v>
      </c>
      <c r="Y56" s="482">
        <f>+Scenario_NDC!AA335</f>
        <v>61776.900333333338</v>
      </c>
      <c r="Z56" s="114"/>
    </row>
    <row r="57" spans="4:26" x14ac:dyDescent="0.3">
      <c r="D57" s="481" t="s">
        <v>431</v>
      </c>
      <c r="E57" s="140"/>
      <c r="F57" s="140"/>
      <c r="G57" s="140"/>
      <c r="H57" s="140"/>
      <c r="I57" s="140"/>
      <c r="J57" s="140"/>
      <c r="K57" s="140"/>
      <c r="L57" s="140"/>
      <c r="M57" s="140"/>
      <c r="N57" s="140"/>
      <c r="O57" s="140"/>
      <c r="P57" s="140"/>
      <c r="Q57" s="140"/>
      <c r="R57" s="140"/>
      <c r="S57" s="140"/>
      <c r="T57" s="140"/>
      <c r="U57" s="140"/>
      <c r="V57" s="140"/>
      <c r="W57" s="140"/>
      <c r="X57" s="140"/>
      <c r="Y57" s="482"/>
    </row>
    <row r="58" spans="4:26" x14ac:dyDescent="0.3">
      <c r="D58" s="481" t="s">
        <v>440</v>
      </c>
      <c r="E58" s="140">
        <f>+Scenario_NDC!G169</f>
        <v>0</v>
      </c>
      <c r="F58" s="140">
        <f>+Scenario_NDC!H169</f>
        <v>0</v>
      </c>
      <c r="G58" s="140">
        <f>+Scenario_NDC!I169</f>
        <v>0</v>
      </c>
      <c r="H58" s="140">
        <f>+Scenario_NDC!J169</f>
        <v>0</v>
      </c>
      <c r="I58" s="140">
        <f>+Scenario_NDC!K169</f>
        <v>0</v>
      </c>
      <c r="J58" s="140">
        <f>+Scenario_NDC!L169</f>
        <v>0</v>
      </c>
      <c r="K58" s="140">
        <f>+Scenario_NDC!M169</f>
        <v>0</v>
      </c>
      <c r="L58" s="140">
        <f>+Scenario_NDC!N169</f>
        <v>0</v>
      </c>
      <c r="M58" s="140">
        <f>+Scenario_NDC!O169</f>
        <v>0</v>
      </c>
      <c r="N58" s="140">
        <f>+Scenario_NDC!P169</f>
        <v>0</v>
      </c>
      <c r="O58" s="140">
        <f>+Scenario_NDC!Q169</f>
        <v>37230</v>
      </c>
      <c r="P58" s="140">
        <f>+Scenario_NDC!R169</f>
        <v>37230</v>
      </c>
      <c r="Q58" s="140">
        <f>+Scenario_NDC!S169</f>
        <v>37230</v>
      </c>
      <c r="R58" s="140">
        <f>+Scenario_NDC!T169</f>
        <v>781830</v>
      </c>
      <c r="S58" s="140">
        <f>+Scenario_NDC!U169</f>
        <v>781830</v>
      </c>
      <c r="T58" s="140">
        <f>+Scenario_NDC!V169</f>
        <v>781830</v>
      </c>
      <c r="U58" s="140">
        <f>+Scenario_NDC!W169</f>
        <v>781830</v>
      </c>
      <c r="V58" s="140">
        <f>+Scenario_NDC!X169</f>
        <v>781830</v>
      </c>
      <c r="W58" s="140">
        <f>+Scenario_NDC!Y169</f>
        <v>781830</v>
      </c>
      <c r="X58" s="140">
        <f>+Scenario_NDC!Z169</f>
        <v>781830</v>
      </c>
      <c r="Y58" s="482">
        <f>+Scenario_NDC!AA169</f>
        <v>781830</v>
      </c>
      <c r="Z58" s="114"/>
    </row>
    <row r="59" spans="4:26" x14ac:dyDescent="0.3">
      <c r="D59" s="481" t="s">
        <v>432</v>
      </c>
      <c r="E59" s="140">
        <f>+Scenario_NDC!G190</f>
        <v>3875855.7150321514</v>
      </c>
      <c r="F59" s="140">
        <f>+Scenario_NDC!H190</f>
        <v>4204795.5495570004</v>
      </c>
      <c r="G59" s="140">
        <f>+Scenario_NDC!I190</f>
        <v>4475347.2606733171</v>
      </c>
      <c r="H59" s="140">
        <f>+Scenario_NDC!J190</f>
        <v>4692441.8888248773</v>
      </c>
      <c r="I59" s="140">
        <f>+Scenario_NDC!K190</f>
        <v>5426028.4641763652</v>
      </c>
      <c r="J59" s="140">
        <f>+Scenario_NDC!L190</f>
        <v>5718182.0382411722</v>
      </c>
      <c r="K59" s="140">
        <f>+Scenario_NDC!M190</f>
        <v>6857813.3036782192</v>
      </c>
      <c r="L59" s="140">
        <f>+Scenario_NDC!N190</f>
        <v>6556082.4895821987</v>
      </c>
      <c r="M59" s="140">
        <f>+Scenario_NDC!O190</f>
        <v>6373210.9984091837</v>
      </c>
      <c r="N59" s="140">
        <f>+Scenario_NDC!P190</f>
        <v>6538663.1966314064</v>
      </c>
      <c r="O59" s="140">
        <f>+Scenario_NDC!Q190</f>
        <v>4144352.6042714287</v>
      </c>
      <c r="P59" s="140">
        <f>+Scenario_NDC!R190</f>
        <v>4124031.4913455956</v>
      </c>
      <c r="Q59" s="140">
        <f>+Scenario_NDC!S190</f>
        <v>4124031.4913455956</v>
      </c>
      <c r="R59" s="140">
        <f>+Scenario_NDC!T190</f>
        <v>4124031.4913455956</v>
      </c>
      <c r="S59" s="140">
        <f>+Scenario_NDC!U190</f>
        <v>4124031.4913455956</v>
      </c>
      <c r="T59" s="140">
        <f>+Scenario_NDC!V190</f>
        <v>4124031.4913455956</v>
      </c>
      <c r="U59" s="140">
        <f>+Scenario_NDC!W190</f>
        <v>4124031.4913455956</v>
      </c>
      <c r="V59" s="140">
        <f>+Scenario_NDC!X190</f>
        <v>4124031.4913455956</v>
      </c>
      <c r="W59" s="140">
        <f>+Scenario_NDC!Y190</f>
        <v>4124031.4913455956</v>
      </c>
      <c r="X59" s="140">
        <f>+Scenario_NDC!Z190</f>
        <v>4124031.4913455956</v>
      </c>
      <c r="Y59" s="482">
        <f>+Scenario_NDC!AA190</f>
        <v>4124031.4913455956</v>
      </c>
      <c r="Z59" s="114"/>
    </row>
    <row r="60" spans="4:26" x14ac:dyDescent="0.3">
      <c r="D60" s="483" t="s">
        <v>433</v>
      </c>
      <c r="E60" s="484">
        <f>+Scenario_NDC!G54</f>
        <v>0</v>
      </c>
      <c r="F60" s="484">
        <f>+Scenario_NDC!H54</f>
        <v>0</v>
      </c>
      <c r="G60" s="484">
        <f>+Scenario_NDC!I54</f>
        <v>0</v>
      </c>
      <c r="H60" s="484">
        <f>+Scenario_NDC!J54</f>
        <v>0</v>
      </c>
      <c r="I60" s="484">
        <f>+Scenario_NDC!K54</f>
        <v>0</v>
      </c>
      <c r="J60" s="484">
        <f>+Scenario_NDC!L54</f>
        <v>0</v>
      </c>
      <c r="K60" s="484">
        <f>+Scenario_NDC!M54</f>
        <v>0</v>
      </c>
      <c r="L60" s="484">
        <f>+Scenario_NDC!N54</f>
        <v>0</v>
      </c>
      <c r="M60" s="484">
        <f>+Scenario_NDC!O54</f>
        <v>0</v>
      </c>
      <c r="N60" s="484">
        <f>+Scenario_NDC!P54</f>
        <v>2509214.4</v>
      </c>
      <c r="O60" s="484">
        <f>+Scenario_NDC!Q54</f>
        <v>9790105.9199999999</v>
      </c>
      <c r="P60" s="484">
        <f>+Scenario_NDC!R54</f>
        <v>9790105.9199999999</v>
      </c>
      <c r="Q60" s="484">
        <f>+Scenario_NDC!S54</f>
        <v>9790105.9199999999</v>
      </c>
      <c r="R60" s="484">
        <f>+Scenario_NDC!T54</f>
        <v>9790105.9199999999</v>
      </c>
      <c r="S60" s="484">
        <f>+Scenario_NDC!U54</f>
        <v>9790105.9199999999</v>
      </c>
      <c r="T60" s="484">
        <f>+Scenario_NDC!V54</f>
        <v>9790105.9199999999</v>
      </c>
      <c r="U60" s="484">
        <f>+Scenario_NDC!W54</f>
        <v>9790105.9199999999</v>
      </c>
      <c r="V60" s="484">
        <f>+Scenario_NDC!X54</f>
        <v>9790105.9199999999</v>
      </c>
      <c r="W60" s="484">
        <f>+Scenario_NDC!Y54</f>
        <v>9790105.9199999999</v>
      </c>
      <c r="X60" s="484">
        <f>+Scenario_NDC!Z54</f>
        <v>9790105.9199999999</v>
      </c>
      <c r="Y60" s="485">
        <f>+Scenario_NDC!AA54</f>
        <v>9790105.9199999999</v>
      </c>
      <c r="Z60" s="114"/>
    </row>
    <row r="61" spans="4:26" x14ac:dyDescent="0.3">
      <c r="E61" s="114"/>
      <c r="F61" s="114"/>
      <c r="G61" s="114"/>
      <c r="H61" s="114"/>
      <c r="I61" s="114"/>
      <c r="J61" s="114"/>
      <c r="K61" s="114"/>
      <c r="L61" s="114"/>
      <c r="M61" s="114"/>
      <c r="N61" s="114"/>
      <c r="O61" s="114"/>
      <c r="P61" s="114"/>
      <c r="Q61" s="114"/>
      <c r="R61" s="114"/>
      <c r="S61" s="114"/>
      <c r="T61" s="114"/>
      <c r="U61" s="114"/>
      <c r="V61" s="114"/>
      <c r="W61" s="114"/>
      <c r="X61" s="114"/>
      <c r="Y61" s="114"/>
      <c r="Z61" s="114"/>
    </row>
    <row r="91" spans="4:26" ht="18" x14ac:dyDescent="0.35">
      <c r="D91" s="489" t="s">
        <v>490</v>
      </c>
    </row>
    <row r="93" spans="4:26" x14ac:dyDescent="0.3">
      <c r="D93" s="439" t="s">
        <v>54</v>
      </c>
      <c r="E93" s="486">
        <v>2010</v>
      </c>
      <c r="F93" s="487">
        <v>2011</v>
      </c>
      <c r="G93" s="487">
        <v>2012</v>
      </c>
      <c r="H93" s="487">
        <v>2013</v>
      </c>
      <c r="I93" s="487">
        <v>2014</v>
      </c>
      <c r="J93" s="487">
        <v>2015</v>
      </c>
      <c r="K93" s="487">
        <v>2016</v>
      </c>
      <c r="L93" s="487">
        <v>2017</v>
      </c>
      <c r="M93" s="487">
        <v>2018</v>
      </c>
      <c r="N93" s="487">
        <v>2019</v>
      </c>
      <c r="O93" s="487">
        <v>2020</v>
      </c>
      <c r="P93" s="487">
        <v>2021</v>
      </c>
      <c r="Q93" s="487">
        <v>2022</v>
      </c>
      <c r="R93" s="487">
        <v>2023</v>
      </c>
      <c r="S93" s="487">
        <v>2024</v>
      </c>
      <c r="T93" s="487">
        <v>2025</v>
      </c>
      <c r="U93" s="487">
        <v>2026</v>
      </c>
      <c r="V93" s="487">
        <v>2027</v>
      </c>
      <c r="W93" s="487">
        <v>2028</v>
      </c>
      <c r="X93" s="487">
        <v>2029</v>
      </c>
      <c r="Y93" s="488">
        <v>2030</v>
      </c>
    </row>
    <row r="94" spans="4:26" x14ac:dyDescent="0.3">
      <c r="D94" s="480" t="s">
        <v>425</v>
      </c>
      <c r="E94" s="140">
        <f>+'Scenario_100%_RE'!G262</f>
        <v>2151428.9800358461</v>
      </c>
      <c r="F94" s="140">
        <f>+'Scenario_100%_RE'!H262</f>
        <v>2324105.4636729998</v>
      </c>
      <c r="G94" s="140">
        <f>+'Scenario_100%_RE'!I262</f>
        <v>2322084.4652733332</v>
      </c>
      <c r="H94" s="140">
        <f>+'Scenario_100%_RE'!J262</f>
        <v>2514863.618699627</v>
      </c>
      <c r="I94" s="140">
        <f>+'Scenario_100%_RE'!K262</f>
        <v>2232992.8565350003</v>
      </c>
      <c r="J94" s="140">
        <f>+'Scenario_100%_RE'!L262</f>
        <v>2439591.1513262745</v>
      </c>
      <c r="K94" s="140">
        <f>+'Scenario_100%_RE'!M262</f>
        <v>1715604.4612500004</v>
      </c>
      <c r="L94" s="140">
        <f>+'Scenario_100%_RE'!N262</f>
        <v>2229863.9013999989</v>
      </c>
      <c r="M94" s="140">
        <f>+'Scenario_100%_RE'!O262</f>
        <v>2651238.9793254239</v>
      </c>
      <c r="N94" s="140">
        <f>+'Scenario_100%_RE'!P262</f>
        <v>2640951.1156587573</v>
      </c>
      <c r="O94" s="140">
        <f>+'Scenario_100%_RE'!Q262</f>
        <v>2640951.1156587573</v>
      </c>
      <c r="P94" s="140">
        <f>+'Scenario_100%_RE'!R262</f>
        <v>2640951.1156587573</v>
      </c>
      <c r="Q94" s="140">
        <f>+'Scenario_100%_RE'!S262</f>
        <v>2640951.1156587573</v>
      </c>
      <c r="R94" s="140">
        <f>+'Scenario_100%_RE'!T262</f>
        <v>2640951.1156587573</v>
      </c>
      <c r="S94" s="140">
        <f>+'Scenario_100%_RE'!U262</f>
        <v>2640951.1156587573</v>
      </c>
      <c r="T94" s="140">
        <f>+'Scenario_100%_RE'!V262</f>
        <v>2640951.1156587573</v>
      </c>
      <c r="U94" s="140">
        <f>+'Scenario_100%_RE'!W262</f>
        <v>2640951.1156587573</v>
      </c>
      <c r="V94" s="140">
        <f>+'Scenario_100%_RE'!X262</f>
        <v>2640951.1156587573</v>
      </c>
      <c r="W94" s="140">
        <f>+'Scenario_100%_RE'!Y262</f>
        <v>2640951.1156587573</v>
      </c>
      <c r="X94" s="140">
        <f>+'Scenario_100%_RE'!Z262</f>
        <v>2640951.1156587573</v>
      </c>
      <c r="Y94" s="482">
        <f>+'Scenario_100%_RE'!AA262</f>
        <v>2640951.1156587573</v>
      </c>
      <c r="Z94" s="114"/>
    </row>
    <row r="95" spans="4:26" x14ac:dyDescent="0.3">
      <c r="D95" s="481" t="s">
        <v>426</v>
      </c>
      <c r="E95" s="140">
        <f>+'Scenario_100%_RE'!G82</f>
        <v>0</v>
      </c>
      <c r="F95" s="140">
        <f>+'Scenario_100%_RE'!H82</f>
        <v>0</v>
      </c>
      <c r="G95" s="140">
        <f>+'Scenario_100%_RE'!I82</f>
        <v>0</v>
      </c>
      <c r="H95" s="140">
        <f>+'Scenario_100%_RE'!J82</f>
        <v>0</v>
      </c>
      <c r="I95" s="140">
        <f>+'Scenario_100%_RE'!K82</f>
        <v>0</v>
      </c>
      <c r="J95" s="140">
        <f>+'Scenario_100%_RE'!L82</f>
        <v>0</v>
      </c>
      <c r="K95" s="140">
        <f>+'Scenario_100%_RE'!M82</f>
        <v>0</v>
      </c>
      <c r="L95" s="140">
        <f>+'Scenario_100%_RE'!N82</f>
        <v>0</v>
      </c>
      <c r="M95" s="140">
        <f>+'Scenario_100%_RE'!O82</f>
        <v>240900</v>
      </c>
      <c r="N95" s="140">
        <f>+'Scenario_100%_RE'!P82</f>
        <v>543120</v>
      </c>
      <c r="O95" s="140">
        <f>+'Scenario_100%_RE'!Q82</f>
        <v>2938542</v>
      </c>
      <c r="P95" s="140">
        <f>+'Scenario_100%_RE'!R82</f>
        <v>5103138</v>
      </c>
      <c r="Q95" s="140">
        <f>+'Scenario_100%_RE'!S82</f>
        <v>5103138</v>
      </c>
      <c r="R95" s="140">
        <f>+'Scenario_100%_RE'!T82</f>
        <v>5103138</v>
      </c>
      <c r="S95" s="140">
        <f>+'Scenario_100%_RE'!U82</f>
        <v>5103138</v>
      </c>
      <c r="T95" s="140">
        <f>+'Scenario_100%_RE'!V82</f>
        <v>11200098</v>
      </c>
      <c r="U95" s="140">
        <f>+'Scenario_100%_RE'!W82</f>
        <v>11200098</v>
      </c>
      <c r="V95" s="140">
        <f>+'Scenario_100%_RE'!X82</f>
        <v>11200098</v>
      </c>
      <c r="W95" s="140">
        <f>+'Scenario_100%_RE'!Y82</f>
        <v>11200098</v>
      </c>
      <c r="X95" s="140">
        <f>+'Scenario_100%_RE'!Z82</f>
        <v>33205611.600000001</v>
      </c>
      <c r="Y95" s="482">
        <f>+'Scenario_100%_RE'!AA82</f>
        <v>40564011.600000001</v>
      </c>
      <c r="Z95" s="114"/>
    </row>
    <row r="96" spans="4:26" x14ac:dyDescent="0.3">
      <c r="D96" s="481" t="s">
        <v>427</v>
      </c>
      <c r="E96" s="140">
        <f>+'Scenario_100%_RE'!G344</f>
        <v>0</v>
      </c>
      <c r="F96" s="140">
        <f>+'Scenario_100%_RE'!H344</f>
        <v>0</v>
      </c>
      <c r="G96" s="140">
        <f>+'Scenario_100%_RE'!I344</f>
        <v>0</v>
      </c>
      <c r="H96" s="140">
        <f>+'Scenario_100%_RE'!J344</f>
        <v>36.528500000000001</v>
      </c>
      <c r="I96" s="140">
        <f>+'Scenario_100%_RE'!K344</f>
        <v>8157.7569999999996</v>
      </c>
      <c r="J96" s="140">
        <f>+'Scenario_100%_RE'!L344</f>
        <v>11450.126</v>
      </c>
      <c r="K96" s="140">
        <f>+'Scenario_100%_RE'!M344</f>
        <v>34911.444000000003</v>
      </c>
      <c r="L96" s="140">
        <f>+'Scenario_100%_RE'!N344</f>
        <v>60383.278999999995</v>
      </c>
      <c r="M96" s="140">
        <f>+'Scenario_100%_RE'!O344</f>
        <v>86072.578999999998</v>
      </c>
      <c r="N96" s="140">
        <f>+'Scenario_100%_RE'!P344</f>
        <v>86072.578999999998</v>
      </c>
      <c r="O96" s="140">
        <f>+'Scenario_100%_RE'!Q344</f>
        <v>86072.578999999998</v>
      </c>
      <c r="P96" s="140">
        <f>+'Scenario_100%_RE'!R344</f>
        <v>86072.578999999998</v>
      </c>
      <c r="Q96" s="140">
        <f>+'Scenario_100%_RE'!S344</f>
        <v>86072.578999999998</v>
      </c>
      <c r="R96" s="140">
        <f>+'Scenario_100%_RE'!T344</f>
        <v>86072.578999999998</v>
      </c>
      <c r="S96" s="140">
        <f>+'Scenario_100%_RE'!U344</f>
        <v>86072.578999999998</v>
      </c>
      <c r="T96" s="140">
        <f>+'Scenario_100%_RE'!V344</f>
        <v>86072.578999999998</v>
      </c>
      <c r="U96" s="140">
        <f>+'Scenario_100%_RE'!W344</f>
        <v>86072.578999999998</v>
      </c>
      <c r="V96" s="140">
        <f>+'Scenario_100%_RE'!X344</f>
        <v>86072.578999999998</v>
      </c>
      <c r="W96" s="140">
        <f>+'Scenario_100%_RE'!Y344</f>
        <v>86072.578999999998</v>
      </c>
      <c r="X96" s="140">
        <f>+'Scenario_100%_RE'!Z344</f>
        <v>86072.578999999998</v>
      </c>
      <c r="Y96" s="482">
        <f>+'Scenario_100%_RE'!AA344</f>
        <v>86072.578999999998</v>
      </c>
      <c r="Z96" s="114"/>
    </row>
    <row r="97" spans="4:26" x14ac:dyDescent="0.3">
      <c r="D97" s="481" t="s">
        <v>428</v>
      </c>
      <c r="E97" s="140">
        <f>+'Scenario_100%_RE'!G132</f>
        <v>0</v>
      </c>
      <c r="F97" s="140">
        <f>+'Scenario_100%_RE'!H132</f>
        <v>0</v>
      </c>
      <c r="G97" s="140">
        <f>+'Scenario_100%_RE'!I132</f>
        <v>0</v>
      </c>
      <c r="H97" s="140">
        <f>+'Scenario_100%_RE'!J132</f>
        <v>0</v>
      </c>
      <c r="I97" s="140">
        <f>+'Scenario_100%_RE'!K132</f>
        <v>0</v>
      </c>
      <c r="J97" s="140">
        <f>+'Scenario_100%_RE'!L132</f>
        <v>0</v>
      </c>
      <c r="K97" s="140">
        <f>+'Scenario_100%_RE'!M132</f>
        <v>0</v>
      </c>
      <c r="L97" s="140">
        <f>+'Scenario_100%_RE'!N132</f>
        <v>0</v>
      </c>
      <c r="M97" s="140">
        <f>+'Scenario_100%_RE'!O132</f>
        <v>0</v>
      </c>
      <c r="N97" s="140">
        <f>+'Scenario_100%_RE'!P132</f>
        <v>0</v>
      </c>
      <c r="O97" s="140">
        <f>+'Scenario_100%_RE'!Q132</f>
        <v>331128</v>
      </c>
      <c r="P97" s="140">
        <f>+'Scenario_100%_RE'!R132</f>
        <v>469098</v>
      </c>
      <c r="Q97" s="140">
        <f>+'Scenario_100%_RE'!S132</f>
        <v>469098</v>
      </c>
      <c r="R97" s="140">
        <f>+'Scenario_100%_RE'!T132</f>
        <v>469098</v>
      </c>
      <c r="S97" s="140">
        <f>+'Scenario_100%_RE'!U132</f>
        <v>469098</v>
      </c>
      <c r="T97" s="140">
        <f>+'Scenario_100%_RE'!V132</f>
        <v>469098</v>
      </c>
      <c r="U97" s="140">
        <f>+'Scenario_100%_RE'!W132</f>
        <v>469098</v>
      </c>
      <c r="V97" s="140">
        <f>+'Scenario_100%_RE'!X132</f>
        <v>469098</v>
      </c>
      <c r="W97" s="140">
        <f>+'Scenario_100%_RE'!Y132</f>
        <v>469098</v>
      </c>
      <c r="X97" s="140">
        <f>+'Scenario_100%_RE'!Z132</f>
        <v>469098</v>
      </c>
      <c r="Y97" s="482">
        <f>+'Scenario_100%_RE'!AA132</f>
        <v>1315314</v>
      </c>
      <c r="Z97" s="114"/>
    </row>
    <row r="98" spans="4:26" x14ac:dyDescent="0.3">
      <c r="D98" s="481" t="s">
        <v>429</v>
      </c>
      <c r="E98" s="140">
        <f>+'Scenario_100%_RE'!G151</f>
        <v>0</v>
      </c>
      <c r="F98" s="140">
        <f>+'Scenario_100%_RE'!H151</f>
        <v>0</v>
      </c>
      <c r="G98" s="140">
        <f>+'Scenario_100%_RE'!I151</f>
        <v>0</v>
      </c>
      <c r="H98" s="140">
        <f>+'Scenario_100%_RE'!J151</f>
        <v>0</v>
      </c>
      <c r="I98" s="140">
        <f>+'Scenario_100%_RE'!K151</f>
        <v>0</v>
      </c>
      <c r="J98" s="140">
        <f>+'Scenario_100%_RE'!L151</f>
        <v>0</v>
      </c>
      <c r="K98" s="140">
        <f>+'Scenario_100%_RE'!M151</f>
        <v>0</v>
      </c>
      <c r="L98" s="140">
        <f>+'Scenario_100%_RE'!N151</f>
        <v>0</v>
      </c>
      <c r="M98" s="140">
        <f>+'Scenario_100%_RE'!O151</f>
        <v>136656</v>
      </c>
      <c r="N98" s="140">
        <f>+'Scenario_100%_RE'!P151</f>
        <v>346896</v>
      </c>
      <c r="O98" s="140">
        <f>+'Scenario_100%_RE'!Q151</f>
        <v>357408</v>
      </c>
      <c r="P98" s="140">
        <f>+'Scenario_100%_RE'!R151</f>
        <v>357408</v>
      </c>
      <c r="Q98" s="140">
        <f>+'Scenario_100%_RE'!S151</f>
        <v>357408</v>
      </c>
      <c r="R98" s="140">
        <f>+'Scenario_100%_RE'!T151</f>
        <v>357408</v>
      </c>
      <c r="S98" s="140">
        <f>+'Scenario_100%_RE'!U151</f>
        <v>357408</v>
      </c>
      <c r="T98" s="140">
        <f>+'Scenario_100%_RE'!V151</f>
        <v>357408</v>
      </c>
      <c r="U98" s="140">
        <f>+'Scenario_100%_RE'!W151</f>
        <v>357408</v>
      </c>
      <c r="V98" s="140">
        <f>+'Scenario_100%_RE'!X151</f>
        <v>357408</v>
      </c>
      <c r="W98" s="140">
        <f>+'Scenario_100%_RE'!Y151</f>
        <v>357408</v>
      </c>
      <c r="X98" s="140">
        <f>+'Scenario_100%_RE'!Z151</f>
        <v>357408</v>
      </c>
      <c r="Y98" s="482">
        <f>+'Scenario_100%_RE'!AA151</f>
        <v>777888</v>
      </c>
      <c r="Z98" s="114"/>
    </row>
    <row r="99" spans="4:26" x14ac:dyDescent="0.3">
      <c r="D99" s="481" t="s">
        <v>430</v>
      </c>
      <c r="E99" s="140">
        <f>+'Scenario_100%_RE'!G335</f>
        <v>58156.17</v>
      </c>
      <c r="F99" s="140">
        <f>+'Scenario_100%_RE'!H335</f>
        <v>64040.52</v>
      </c>
      <c r="G99" s="140">
        <f>+'Scenario_100%_RE'!I335</f>
        <v>64494.2</v>
      </c>
      <c r="H99" s="140">
        <f>+'Scenario_100%_RE'!J335</f>
        <v>79491</v>
      </c>
      <c r="I99" s="140">
        <f>+'Scenario_100%_RE'!K335</f>
        <v>76309.624999999985</v>
      </c>
      <c r="J99" s="140">
        <f>+'Scenario_100%_RE'!L335</f>
        <v>79093.507500000007</v>
      </c>
      <c r="K99" s="140">
        <f>+'Scenario_100%_RE'!M335</f>
        <v>61193.049750000006</v>
      </c>
      <c r="L99" s="140">
        <f>+'Scenario_100%_RE'!N335</f>
        <v>44047.566999999995</v>
      </c>
      <c r="M99" s="140">
        <f>+'Scenario_100%_RE'!O335</f>
        <v>61776.900333333338</v>
      </c>
      <c r="N99" s="140">
        <f>+'Scenario_100%_RE'!P335</f>
        <v>61776.900333333338</v>
      </c>
      <c r="O99" s="140">
        <f>+'Scenario_100%_RE'!Q335</f>
        <v>61776.900333333338</v>
      </c>
      <c r="P99" s="140">
        <f>+'Scenario_100%_RE'!R335</f>
        <v>61776.900333333338</v>
      </c>
      <c r="Q99" s="140">
        <f>+'Scenario_100%_RE'!S335</f>
        <v>61776.900333333338</v>
      </c>
      <c r="R99" s="140">
        <f>+'Scenario_100%_RE'!T335</f>
        <v>61776.900333333338</v>
      </c>
      <c r="S99" s="140">
        <f>+'Scenario_100%_RE'!U335</f>
        <v>61776.900333333338</v>
      </c>
      <c r="T99" s="140">
        <f>+'Scenario_100%_RE'!V335</f>
        <v>61776.900333333338</v>
      </c>
      <c r="U99" s="140">
        <f>+'Scenario_100%_RE'!W335</f>
        <v>61776.900333333338</v>
      </c>
      <c r="V99" s="140">
        <f>+'Scenario_100%_RE'!X335</f>
        <v>61776.900333333338</v>
      </c>
      <c r="W99" s="140">
        <f>+'Scenario_100%_RE'!Y335</f>
        <v>61776.900333333338</v>
      </c>
      <c r="X99" s="140">
        <f>+'Scenario_100%_RE'!Z335</f>
        <v>61776.900333333338</v>
      </c>
      <c r="Y99" s="482">
        <f>+'Scenario_100%_RE'!AA335</f>
        <v>61776.900333333338</v>
      </c>
      <c r="Z99" s="114"/>
    </row>
    <row r="100" spans="4:26" x14ac:dyDescent="0.3">
      <c r="D100" s="481" t="s">
        <v>431</v>
      </c>
      <c r="E100" s="140"/>
      <c r="F100" s="140"/>
      <c r="G100" s="140"/>
      <c r="H100" s="140"/>
      <c r="I100" s="140"/>
      <c r="J100" s="140"/>
      <c r="K100" s="140"/>
      <c r="L100" s="140"/>
      <c r="M100" s="140"/>
      <c r="N100" s="140"/>
      <c r="O100" s="140"/>
      <c r="P100" s="140"/>
      <c r="Q100" s="140"/>
      <c r="R100" s="140"/>
      <c r="S100" s="140"/>
      <c r="T100" s="140"/>
      <c r="U100" s="140"/>
      <c r="V100" s="140"/>
      <c r="W100" s="140"/>
      <c r="X100" s="140"/>
      <c r="Y100" s="482"/>
    </row>
    <row r="101" spans="4:26" x14ac:dyDescent="0.3">
      <c r="D101" s="481" t="s">
        <v>440</v>
      </c>
      <c r="E101" s="140">
        <f>+'Scenario_100%_RE'!G169</f>
        <v>0</v>
      </c>
      <c r="F101" s="140">
        <f>+'Scenario_100%_RE'!H169</f>
        <v>0</v>
      </c>
      <c r="G101" s="140">
        <f>+'Scenario_100%_RE'!I169</f>
        <v>0</v>
      </c>
      <c r="H101" s="140">
        <f>+'Scenario_100%_RE'!J169</f>
        <v>0</v>
      </c>
      <c r="I101" s="140">
        <f>+'Scenario_100%_RE'!K169</f>
        <v>0</v>
      </c>
      <c r="J101" s="140">
        <f>+'Scenario_100%_RE'!L169</f>
        <v>0</v>
      </c>
      <c r="K101" s="140">
        <f>+'Scenario_100%_RE'!M169</f>
        <v>0</v>
      </c>
      <c r="L101" s="140">
        <f>+'Scenario_100%_RE'!N169</f>
        <v>0</v>
      </c>
      <c r="M101" s="140">
        <f>+'Scenario_100%_RE'!O169</f>
        <v>0</v>
      </c>
      <c r="N101" s="140">
        <f>+'Scenario_100%_RE'!P169</f>
        <v>0</v>
      </c>
      <c r="O101" s="140">
        <f>+'Scenario_100%_RE'!Q169</f>
        <v>37230</v>
      </c>
      <c r="P101" s="140">
        <f>+'Scenario_100%_RE'!R169</f>
        <v>37230</v>
      </c>
      <c r="Q101" s="140">
        <f>+'Scenario_100%_RE'!S169</f>
        <v>37230</v>
      </c>
      <c r="R101" s="140">
        <f>+'Scenario_100%_RE'!T169</f>
        <v>781830</v>
      </c>
      <c r="S101" s="140">
        <f>+'Scenario_100%_RE'!U169</f>
        <v>781830</v>
      </c>
      <c r="T101" s="140">
        <f>+'Scenario_100%_RE'!V169</f>
        <v>781830</v>
      </c>
      <c r="U101" s="140">
        <f>+'Scenario_100%_RE'!W169</f>
        <v>781830</v>
      </c>
      <c r="V101" s="140">
        <f>+'Scenario_100%_RE'!X169</f>
        <v>781830</v>
      </c>
      <c r="W101" s="140">
        <f>+'Scenario_100%_RE'!Y169</f>
        <v>781830</v>
      </c>
      <c r="X101" s="140">
        <f>+'Scenario_100%_RE'!Z169</f>
        <v>781830</v>
      </c>
      <c r="Y101" s="482">
        <f>+'Scenario_100%_RE'!AA169</f>
        <v>781830</v>
      </c>
      <c r="Z101" s="114"/>
    </row>
    <row r="102" spans="4:26" x14ac:dyDescent="0.3">
      <c r="D102" s="481" t="s">
        <v>432</v>
      </c>
      <c r="E102" s="140">
        <f>+'Scenario_100%_RE'!G190</f>
        <v>3875855.7150321514</v>
      </c>
      <c r="F102" s="140">
        <f>+'Scenario_100%_RE'!H190</f>
        <v>4204795.5495570004</v>
      </c>
      <c r="G102" s="140">
        <f>+'Scenario_100%_RE'!I190</f>
        <v>4475347.2606733171</v>
      </c>
      <c r="H102" s="140">
        <f>+'Scenario_100%_RE'!J190</f>
        <v>4692441.8888248773</v>
      </c>
      <c r="I102" s="140">
        <f>+'Scenario_100%_RE'!K190</f>
        <v>5426028.4641763652</v>
      </c>
      <c r="J102" s="140">
        <f>+'Scenario_100%_RE'!L190</f>
        <v>5718182.0382411722</v>
      </c>
      <c r="K102" s="140">
        <f>+'Scenario_100%_RE'!M190</f>
        <v>6857813.3036782192</v>
      </c>
      <c r="L102" s="140">
        <f>+'Scenario_100%_RE'!N190</f>
        <v>6556082.4895821987</v>
      </c>
      <c r="M102" s="140">
        <f>+'Scenario_100%_RE'!O190</f>
        <v>6373210.9984091837</v>
      </c>
      <c r="N102" s="140">
        <f>+'Scenario_100%_RE'!P190</f>
        <v>6538663.1966314064</v>
      </c>
      <c r="O102" s="140">
        <f>+'Scenario_100%_RE'!Q190</f>
        <v>5665884.7986711618</v>
      </c>
      <c r="P102" s="140">
        <f>+'Scenario_100%_RE'!R190</f>
        <v>5616449.8879181677</v>
      </c>
      <c r="Q102" s="140">
        <f>+'Scenario_100%_RE'!S190</f>
        <v>5648877.553926399</v>
      </c>
      <c r="R102" s="140">
        <f>+'Scenario_100%_RE'!T190</f>
        <v>5636963.7091966337</v>
      </c>
      <c r="S102" s="140">
        <f>+'Scenario_100%_RE'!U190</f>
        <v>5634097.0503470665</v>
      </c>
      <c r="T102" s="140">
        <f>+'Scenario_100%_RE'!V190</f>
        <v>3245992.0320150317</v>
      </c>
      <c r="U102" s="140">
        <f>+'Scenario_100%_RE'!W190</f>
        <v>3243025.9933140208</v>
      </c>
      <c r="V102" s="140">
        <f>+'Scenario_100%_RE'!X190</f>
        <v>3243042.5566225951</v>
      </c>
      <c r="W102" s="140">
        <f>+'Scenario_100%_RE'!Y190</f>
        <v>3244020.1939838827</v>
      </c>
      <c r="X102" s="140">
        <f>+'Scenario_100%_RE'!Z190</f>
        <v>0</v>
      </c>
      <c r="Y102" s="482">
        <f>+'Scenario_100%_RE'!AA190</f>
        <v>0</v>
      </c>
      <c r="Z102" s="114"/>
    </row>
    <row r="103" spans="4:26" x14ac:dyDescent="0.3">
      <c r="D103" s="483" t="s">
        <v>433</v>
      </c>
      <c r="E103" s="484">
        <f>+'Scenario_100%_RE'!G54</f>
        <v>0</v>
      </c>
      <c r="F103" s="484">
        <f>+'Scenario_100%_RE'!H54</f>
        <v>0</v>
      </c>
      <c r="G103" s="484">
        <f>+'Scenario_100%_RE'!I54</f>
        <v>0</v>
      </c>
      <c r="H103" s="484">
        <f>+'Scenario_100%_RE'!J54</f>
        <v>0</v>
      </c>
      <c r="I103" s="484">
        <f>+'Scenario_100%_RE'!K54</f>
        <v>0</v>
      </c>
      <c r="J103" s="484">
        <f>+'Scenario_100%_RE'!L54</f>
        <v>0</v>
      </c>
      <c r="K103" s="484">
        <f>+'Scenario_100%_RE'!M54</f>
        <v>0</v>
      </c>
      <c r="L103" s="484">
        <f>+'Scenario_100%_RE'!N54</f>
        <v>0</v>
      </c>
      <c r="M103" s="484">
        <f>+'Scenario_100%_RE'!O54</f>
        <v>0</v>
      </c>
      <c r="N103" s="484">
        <f>+'Scenario_100%_RE'!P54</f>
        <v>0</v>
      </c>
      <c r="O103" s="484">
        <f>+'Scenario_100%_RE'!Q54</f>
        <v>0</v>
      </c>
      <c r="P103" s="484">
        <f>+'Scenario_100%_RE'!R54</f>
        <v>0</v>
      </c>
      <c r="Q103" s="484">
        <f>+'Scenario_100%_RE'!S54</f>
        <v>0</v>
      </c>
      <c r="R103" s="484">
        <f>+'Scenario_100%_RE'!T54</f>
        <v>0</v>
      </c>
      <c r="S103" s="484">
        <f>+'Scenario_100%_RE'!U54</f>
        <v>0</v>
      </c>
      <c r="T103" s="484">
        <f>+'Scenario_100%_RE'!V54</f>
        <v>0</v>
      </c>
      <c r="U103" s="484">
        <f>+'Scenario_100%_RE'!W54</f>
        <v>0</v>
      </c>
      <c r="V103" s="484">
        <f>+'Scenario_100%_RE'!X54</f>
        <v>0</v>
      </c>
      <c r="W103" s="484">
        <f>+'Scenario_100%_RE'!Y54</f>
        <v>0</v>
      </c>
      <c r="X103" s="484">
        <f>+'Scenario_100%_RE'!Z54</f>
        <v>0</v>
      </c>
      <c r="Y103" s="485">
        <f>+'Scenario_100%_RE'!AA54</f>
        <v>0</v>
      </c>
      <c r="Z103" s="114"/>
    </row>
    <row r="104" spans="4:26" x14ac:dyDescent="0.3">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row>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2:M137"/>
  <sheetViews>
    <sheetView topLeftCell="A7" zoomScaleNormal="100" workbookViewId="0">
      <selection activeCell="F5" sqref="F5"/>
    </sheetView>
  </sheetViews>
  <sheetFormatPr baseColWidth="10" defaultColWidth="9.109375" defaultRowHeight="14.4" x14ac:dyDescent="0.3"/>
  <cols>
    <col min="1" max="1" width="9.109375" style="1"/>
    <col min="2" max="2" width="41.33203125" style="1" customWidth="1"/>
    <col min="3" max="3" width="13.5546875" style="1" customWidth="1"/>
    <col min="4" max="5" width="11.109375" style="1" customWidth="1"/>
    <col min="6" max="6" width="21" style="1" bestFit="1" customWidth="1"/>
    <col min="7" max="7" width="15.33203125" style="1" customWidth="1"/>
    <col min="8" max="8" width="16.88671875" style="1" customWidth="1"/>
    <col min="9" max="10" width="9.109375" style="1"/>
    <col min="11" max="11" width="13.5546875" style="1" customWidth="1"/>
    <col min="12" max="12" width="15.109375" style="1" customWidth="1"/>
    <col min="13" max="16384" width="9.109375" style="1"/>
  </cols>
  <sheetData>
    <row r="2" spans="2:10" x14ac:dyDescent="0.3">
      <c r="G2" s="9"/>
      <c r="H2" s="9"/>
      <c r="I2" s="9"/>
    </row>
    <row r="3" spans="2:10" ht="23.4" x14ac:dyDescent="0.45">
      <c r="B3" s="333" t="s">
        <v>373</v>
      </c>
      <c r="E3" s="333">
        <v>2010</v>
      </c>
      <c r="G3" s="9"/>
      <c r="H3" s="9"/>
      <c r="I3" s="9"/>
    </row>
    <row r="4" spans="2:10" x14ac:dyDescent="0.3">
      <c r="G4" s="9"/>
      <c r="H4" s="9"/>
      <c r="I4" s="9"/>
    </row>
    <row r="5" spans="2:10" x14ac:dyDescent="0.3">
      <c r="G5" s="9"/>
      <c r="H5" s="9"/>
      <c r="I5" s="9"/>
    </row>
    <row r="6" spans="2:10" x14ac:dyDescent="0.3">
      <c r="G6" s="9"/>
      <c r="H6" s="9"/>
      <c r="I6" s="9"/>
    </row>
    <row r="7" spans="2:10" x14ac:dyDescent="0.3">
      <c r="B7" s="86" t="s">
        <v>273</v>
      </c>
      <c r="C7" s="174"/>
      <c r="D7" s="94"/>
      <c r="E7" s="94"/>
      <c r="F7" s="94"/>
      <c r="G7" s="33"/>
      <c r="H7" s="9"/>
      <c r="I7" s="9"/>
    </row>
    <row r="8" spans="2:10" x14ac:dyDescent="0.3">
      <c r="B8" s="178" t="s">
        <v>115</v>
      </c>
      <c r="C8" s="175">
        <v>3412.14</v>
      </c>
      <c r="D8" s="94"/>
      <c r="E8" s="98"/>
      <c r="F8" s="98"/>
      <c r="G8" s="32"/>
      <c r="H8" s="30"/>
      <c r="I8" s="30"/>
    </row>
    <row r="9" spans="2:10" x14ac:dyDescent="0.3">
      <c r="B9" s="178" t="s">
        <v>283</v>
      </c>
      <c r="C9" s="175">
        <v>947817</v>
      </c>
      <c r="D9" s="94"/>
      <c r="E9" s="98"/>
      <c r="F9" s="98"/>
      <c r="G9" s="32"/>
      <c r="H9" s="30"/>
      <c r="I9" s="30"/>
    </row>
    <row r="10" spans="2:10" ht="15.6" x14ac:dyDescent="0.3">
      <c r="B10" s="178" t="s">
        <v>272</v>
      </c>
      <c r="C10" s="176">
        <v>5.6099999999999997E-2</v>
      </c>
      <c r="D10" s="94"/>
      <c r="E10" s="98"/>
      <c r="F10" s="98"/>
      <c r="G10" s="32"/>
      <c r="H10" s="30"/>
      <c r="I10" s="30"/>
    </row>
    <row r="11" spans="2:10" ht="14.25" customHeight="1" x14ac:dyDescent="0.3">
      <c r="B11" s="179" t="s">
        <v>116</v>
      </c>
      <c r="C11" s="177">
        <v>3.6</v>
      </c>
      <c r="D11" s="94"/>
      <c r="E11" s="98"/>
      <c r="F11" s="98"/>
      <c r="G11" s="32"/>
      <c r="H11" s="30"/>
      <c r="I11" s="30"/>
    </row>
    <row r="12" spans="2:10" ht="15" thickBot="1" x14ac:dyDescent="0.35">
      <c r="B12" s="93"/>
      <c r="C12" s="94"/>
      <c r="D12" s="94"/>
      <c r="E12" s="98"/>
      <c r="F12" s="98"/>
      <c r="G12" s="32"/>
      <c r="H12" s="30"/>
      <c r="I12" s="30"/>
    </row>
    <row r="13" spans="2:10" ht="16.2" thickBot="1" x14ac:dyDescent="0.4">
      <c r="B13" s="183" t="s">
        <v>294</v>
      </c>
      <c r="C13" s="184">
        <f>0.5*H18/C18+0.5*L18/K18</f>
        <v>2.4340874338029818E-2</v>
      </c>
      <c r="D13" s="95"/>
      <c r="E13" s="98"/>
      <c r="F13" s="98"/>
      <c r="G13" s="32"/>
      <c r="H13" s="30"/>
      <c r="I13" s="30"/>
    </row>
    <row r="14" spans="2:10" x14ac:dyDescent="0.3">
      <c r="B14" s="93"/>
      <c r="C14" s="95"/>
      <c r="D14" s="95"/>
      <c r="E14" s="98"/>
      <c r="F14" s="98"/>
      <c r="G14" s="32"/>
      <c r="H14" s="30"/>
      <c r="I14" s="30"/>
    </row>
    <row r="15" spans="2:10" x14ac:dyDescent="0.3">
      <c r="B15" s="219" t="s">
        <v>291</v>
      </c>
      <c r="C15" s="95"/>
      <c r="D15" s="95"/>
      <c r="E15" s="98"/>
      <c r="F15" s="98"/>
      <c r="G15" s="32"/>
      <c r="H15" s="30"/>
      <c r="I15" s="30"/>
      <c r="J15" s="219" t="s">
        <v>292</v>
      </c>
    </row>
    <row r="16" spans="2:10" x14ac:dyDescent="0.3">
      <c r="B16" s="93"/>
      <c r="C16" s="95"/>
      <c r="D16" s="95"/>
      <c r="E16" s="98"/>
      <c r="F16" s="98"/>
      <c r="G16" s="32"/>
      <c r="H16" s="30"/>
      <c r="I16" s="30"/>
    </row>
    <row r="17" spans="2:13" ht="53.25" customHeight="1" x14ac:dyDescent="0.3">
      <c r="B17" s="191" t="s">
        <v>163</v>
      </c>
      <c r="C17" s="192" t="s">
        <v>165</v>
      </c>
      <c r="D17" s="192" t="s">
        <v>168</v>
      </c>
      <c r="E17" s="192" t="s">
        <v>169</v>
      </c>
      <c r="F17" s="192" t="s">
        <v>284</v>
      </c>
      <c r="G17" s="192" t="s">
        <v>285</v>
      </c>
      <c r="H17" s="193" t="s">
        <v>293</v>
      </c>
      <c r="J17" s="193" t="s">
        <v>193</v>
      </c>
      <c r="K17" s="193" t="s">
        <v>197</v>
      </c>
      <c r="L17" s="193" t="s">
        <v>293</v>
      </c>
    </row>
    <row r="18" spans="2:13" x14ac:dyDescent="0.3">
      <c r="B18" s="185" t="s">
        <v>259</v>
      </c>
      <c r="C18" s="186">
        <f>+SUM(C20:C66)+C69+C135</f>
        <v>6085440.8650679979</v>
      </c>
      <c r="D18" s="186"/>
      <c r="E18" s="186"/>
      <c r="F18" s="186"/>
      <c r="G18" s="187"/>
      <c r="H18" s="188">
        <f>SUM(H19:H66)</f>
        <v>122389.30323878487</v>
      </c>
      <c r="J18" s="189" t="s">
        <v>259</v>
      </c>
      <c r="K18" s="218">
        <f>SUM(K19:K37)</f>
        <v>1092075.56589183</v>
      </c>
      <c r="L18" s="190">
        <f>SUM(L19:L37)</f>
        <v>31200.518883698489</v>
      </c>
      <c r="M18" s="210"/>
    </row>
    <row r="19" spans="2:13" x14ac:dyDescent="0.3">
      <c r="B19" s="194" t="s">
        <v>19</v>
      </c>
      <c r="C19" s="195"/>
      <c r="D19" s="196"/>
      <c r="E19" s="197"/>
      <c r="F19" s="198"/>
      <c r="G19" s="199"/>
      <c r="H19" s="200"/>
      <c r="J19" s="108" t="s">
        <v>107</v>
      </c>
      <c r="K19" s="49">
        <v>94768</v>
      </c>
      <c r="L19" s="60">
        <f>+H40</f>
        <v>2945.1042452287729</v>
      </c>
    </row>
    <row r="20" spans="2:13" x14ac:dyDescent="0.3">
      <c r="B20" s="76" t="s">
        <v>87</v>
      </c>
      <c r="C20" s="49">
        <v>0</v>
      </c>
      <c r="D20" s="50">
        <v>3</v>
      </c>
      <c r="E20" s="49">
        <v>10201</v>
      </c>
      <c r="F20" s="111">
        <f t="shared" ref="F20:F32" si="0">+C20*E20*1000/$C$9</f>
        <v>0</v>
      </c>
      <c r="G20" s="182">
        <v>2.9</v>
      </c>
      <c r="H20" s="60">
        <f t="shared" ref="H20:H32" si="1">+F20/1000*G20</f>
        <v>0</v>
      </c>
      <c r="I20" s="212"/>
      <c r="J20" s="108" t="s">
        <v>108</v>
      </c>
      <c r="K20" s="53">
        <v>123773.2823375</v>
      </c>
      <c r="L20" s="60">
        <f t="shared" ref="L20:L22" si="2">+H41</f>
        <v>3805.9797552971058</v>
      </c>
    </row>
    <row r="21" spans="2:13" x14ac:dyDescent="0.3">
      <c r="B21" s="76" t="s">
        <v>88</v>
      </c>
      <c r="C21" s="49">
        <v>7078.1761228214964</v>
      </c>
      <c r="D21" s="50">
        <v>3</v>
      </c>
      <c r="E21" s="49">
        <v>10201</v>
      </c>
      <c r="F21" s="111">
        <f t="shared" si="0"/>
        <v>76179.763212626582</v>
      </c>
      <c r="G21" s="182">
        <v>2.9</v>
      </c>
      <c r="H21" s="60">
        <f t="shared" si="1"/>
        <v>220.92131331661707</v>
      </c>
      <c r="I21" s="212"/>
      <c r="J21" s="108" t="s">
        <v>109</v>
      </c>
      <c r="K21" s="53">
        <v>109541.1267625</v>
      </c>
      <c r="L21" s="60">
        <f t="shared" si="2"/>
        <v>3371.6981571011861</v>
      </c>
    </row>
    <row r="22" spans="2:13" x14ac:dyDescent="0.3">
      <c r="B22" s="76" t="s">
        <v>89</v>
      </c>
      <c r="C22" s="49">
        <v>6933.803202000001</v>
      </c>
      <c r="D22" s="50">
        <v>3</v>
      </c>
      <c r="E22" s="49">
        <v>10201</v>
      </c>
      <c r="F22" s="111">
        <f t="shared" si="0"/>
        <v>74625.9314441522</v>
      </c>
      <c r="G22" s="182">
        <v>2.9</v>
      </c>
      <c r="H22" s="60">
        <f t="shared" si="1"/>
        <v>216.41520118804138</v>
      </c>
      <c r="I22" s="212"/>
      <c r="J22" s="108" t="s">
        <v>110</v>
      </c>
      <c r="K22" s="53">
        <v>77401.001000000004</v>
      </c>
      <c r="L22" s="60">
        <f t="shared" si="2"/>
        <v>2376.0243852934686</v>
      </c>
    </row>
    <row r="23" spans="2:13" x14ac:dyDescent="0.3">
      <c r="B23" s="76" t="s">
        <v>90</v>
      </c>
      <c r="C23" s="49">
        <v>0</v>
      </c>
      <c r="D23" s="50">
        <v>3</v>
      </c>
      <c r="E23" s="49">
        <v>10201</v>
      </c>
      <c r="F23" s="111">
        <f t="shared" si="0"/>
        <v>0</v>
      </c>
      <c r="G23" s="182">
        <v>2.9</v>
      </c>
      <c r="H23" s="60">
        <f t="shared" si="1"/>
        <v>0</v>
      </c>
      <c r="I23" s="212"/>
      <c r="J23" s="108" t="s">
        <v>85</v>
      </c>
      <c r="K23" s="49">
        <v>73485.584999999992</v>
      </c>
      <c r="L23" s="60">
        <f>+H60</f>
        <v>2664.3667802170667</v>
      </c>
    </row>
    <row r="24" spans="2:13" x14ac:dyDescent="0.3">
      <c r="B24" s="76" t="s">
        <v>91</v>
      </c>
      <c r="C24" s="49">
        <v>2.1599455000000001</v>
      </c>
      <c r="D24" s="50">
        <v>3</v>
      </c>
      <c r="E24" s="49">
        <v>10201</v>
      </c>
      <c r="F24" s="111">
        <f t="shared" si="0"/>
        <v>23.246685853387309</v>
      </c>
      <c r="G24" s="182">
        <v>2.9</v>
      </c>
      <c r="H24" s="60">
        <f t="shared" si="1"/>
        <v>6.7415388974823187E-2</v>
      </c>
      <c r="I24" s="212"/>
      <c r="J24" s="109" t="s">
        <v>86</v>
      </c>
      <c r="K24" s="53">
        <v>86746.319999999992</v>
      </c>
      <c r="L24" s="60">
        <f>+H61</f>
        <v>3097.9174634090759</v>
      </c>
    </row>
    <row r="25" spans="2:13" x14ac:dyDescent="0.3">
      <c r="B25" s="76" t="s">
        <v>92</v>
      </c>
      <c r="C25" s="49">
        <v>128803.56000000001</v>
      </c>
      <c r="D25" s="50">
        <v>18</v>
      </c>
      <c r="E25" s="49">
        <v>11497</v>
      </c>
      <c r="F25" s="111">
        <f t="shared" si="0"/>
        <v>1562384.4363627159</v>
      </c>
      <c r="G25" s="182">
        <v>2.9</v>
      </c>
      <c r="H25" s="60">
        <f>+F25/1000*G25</f>
        <v>4530.9148654518758</v>
      </c>
      <c r="I25" s="212"/>
      <c r="J25" s="108" t="s">
        <v>97</v>
      </c>
      <c r="K25" s="49">
        <v>8526.9006409999947</v>
      </c>
      <c r="L25" s="60">
        <f>+H30</f>
        <v>236.10940437135525</v>
      </c>
    </row>
    <row r="26" spans="2:13" x14ac:dyDescent="0.3">
      <c r="B26" s="76" t="s">
        <v>93</v>
      </c>
      <c r="C26" s="49">
        <v>8515.6443321999977</v>
      </c>
      <c r="D26" s="50">
        <v>2</v>
      </c>
      <c r="E26" s="49">
        <v>9050</v>
      </c>
      <c r="F26" s="111">
        <f t="shared" si="0"/>
        <v>81309.557864450602</v>
      </c>
      <c r="G26" s="182">
        <v>2.9</v>
      </c>
      <c r="H26" s="60">
        <f t="shared" si="1"/>
        <v>235.79771780690672</v>
      </c>
      <c r="I26" s="212"/>
      <c r="J26" s="108" t="s">
        <v>98</v>
      </c>
      <c r="K26" s="53">
        <v>7797.8255404000083</v>
      </c>
      <c r="L26" s="60">
        <f t="shared" ref="L26:L27" si="3">+H31</f>
        <v>215.92135539645125</v>
      </c>
    </row>
    <row r="27" spans="2:13" x14ac:dyDescent="0.3">
      <c r="B27" s="76" t="s">
        <v>94</v>
      </c>
      <c r="C27" s="49">
        <v>5375.3301001449963</v>
      </c>
      <c r="D27" s="50">
        <v>2</v>
      </c>
      <c r="E27" s="49">
        <v>9050</v>
      </c>
      <c r="F27" s="111">
        <f t="shared" si="0"/>
        <v>51325.031526457344</v>
      </c>
      <c r="G27" s="182">
        <v>2.9</v>
      </c>
      <c r="H27" s="60">
        <f>+F27/1000*G27</f>
        <v>148.8425914267263</v>
      </c>
      <c r="I27" s="212"/>
      <c r="J27" s="108" t="s">
        <v>99</v>
      </c>
      <c r="K27" s="49">
        <v>0</v>
      </c>
      <c r="L27" s="60">
        <f t="shared" si="3"/>
        <v>0</v>
      </c>
    </row>
    <row r="28" spans="2:13" x14ac:dyDescent="0.3">
      <c r="B28" s="76" t="s">
        <v>95</v>
      </c>
      <c r="C28" s="49">
        <v>5023.2107812749982</v>
      </c>
      <c r="D28" s="50">
        <v>2</v>
      </c>
      <c r="E28" s="49">
        <v>9050</v>
      </c>
      <c r="F28" s="111">
        <f t="shared" si="0"/>
        <v>47962.905888519337</v>
      </c>
      <c r="G28" s="182">
        <v>2.9</v>
      </c>
      <c r="H28" s="60">
        <f t="shared" si="1"/>
        <v>139.09242707670609</v>
      </c>
      <c r="I28" s="212"/>
      <c r="J28" s="110" t="s">
        <v>144</v>
      </c>
      <c r="K28" s="49">
        <v>5760.9160000000011</v>
      </c>
      <c r="L28" s="60"/>
    </row>
    <row r="29" spans="2:13" x14ac:dyDescent="0.3">
      <c r="B29" s="76" t="s">
        <v>96</v>
      </c>
      <c r="C29" s="49">
        <v>2147.3923148100002</v>
      </c>
      <c r="D29" s="50">
        <v>2</v>
      </c>
      <c r="E29" s="49">
        <v>9050</v>
      </c>
      <c r="F29" s="111">
        <f t="shared" si="0"/>
        <v>20503.853010687191</v>
      </c>
      <c r="G29" s="182">
        <v>2.9</v>
      </c>
      <c r="H29" s="60">
        <f t="shared" si="1"/>
        <v>59.461173730992854</v>
      </c>
      <c r="I29" s="212"/>
      <c r="J29" s="108" t="s">
        <v>93</v>
      </c>
      <c r="K29" s="49">
        <v>8515.6443321999977</v>
      </c>
      <c r="L29" s="60">
        <f>+H26</f>
        <v>235.79771780690672</v>
      </c>
    </row>
    <row r="30" spans="2:13" x14ac:dyDescent="0.3">
      <c r="B30" s="76" t="s">
        <v>97</v>
      </c>
      <c r="C30" s="49">
        <v>8526.9006409999947</v>
      </c>
      <c r="D30" s="50">
        <v>2</v>
      </c>
      <c r="E30" s="49">
        <v>9050</v>
      </c>
      <c r="F30" s="111">
        <f t="shared" si="0"/>
        <v>81417.035990122502</v>
      </c>
      <c r="G30" s="182">
        <v>2.9</v>
      </c>
      <c r="H30" s="60">
        <f t="shared" si="1"/>
        <v>236.10940437135525</v>
      </c>
      <c r="I30" s="212"/>
      <c r="J30" s="108" t="s">
        <v>94</v>
      </c>
      <c r="K30" s="49">
        <v>5375.3301001449963</v>
      </c>
      <c r="L30" s="60">
        <f t="shared" ref="L30:L32" si="4">+H27</f>
        <v>148.8425914267263</v>
      </c>
    </row>
    <row r="31" spans="2:13" x14ac:dyDescent="0.3">
      <c r="B31" s="76" t="s">
        <v>98</v>
      </c>
      <c r="C31" s="53">
        <v>7797.8255404000083</v>
      </c>
      <c r="D31" s="50">
        <v>2</v>
      </c>
      <c r="E31" s="49">
        <v>9050</v>
      </c>
      <c r="F31" s="111">
        <f t="shared" si="0"/>
        <v>74455.639791879745</v>
      </c>
      <c r="G31" s="182">
        <v>2.9</v>
      </c>
      <c r="H31" s="60">
        <f t="shared" si="1"/>
        <v>215.92135539645125</v>
      </c>
      <c r="I31" s="212"/>
      <c r="J31" s="108" t="s">
        <v>95</v>
      </c>
      <c r="K31" s="49">
        <v>5023.2107812749982</v>
      </c>
      <c r="L31" s="60">
        <f t="shared" si="4"/>
        <v>139.09242707670609</v>
      </c>
    </row>
    <row r="32" spans="2:13" x14ac:dyDescent="0.3">
      <c r="B32" s="76" t="s">
        <v>99</v>
      </c>
      <c r="C32" s="49">
        <v>0</v>
      </c>
      <c r="D32" s="50">
        <v>2</v>
      </c>
      <c r="E32" s="49">
        <v>9050</v>
      </c>
      <c r="F32" s="49">
        <f t="shared" si="0"/>
        <v>0</v>
      </c>
      <c r="G32" s="182">
        <v>2.9</v>
      </c>
      <c r="H32" s="60">
        <f t="shared" si="1"/>
        <v>0</v>
      </c>
      <c r="I32" s="212"/>
      <c r="J32" s="108" t="s">
        <v>96</v>
      </c>
      <c r="K32" s="49">
        <v>2147.3923148100002</v>
      </c>
      <c r="L32" s="60">
        <f t="shared" si="4"/>
        <v>59.461173730992854</v>
      </c>
    </row>
    <row r="33" spans="2:12" x14ac:dyDescent="0.3">
      <c r="B33" s="201" t="s">
        <v>20</v>
      </c>
      <c r="C33" s="195"/>
      <c r="D33" s="202"/>
      <c r="E33" s="203"/>
      <c r="F33" s="198"/>
      <c r="G33" s="199"/>
      <c r="H33" s="200"/>
      <c r="I33" s="212"/>
      <c r="J33" s="110" t="s">
        <v>189</v>
      </c>
      <c r="K33" s="115">
        <v>3310.4</v>
      </c>
      <c r="L33" s="60">
        <v>0</v>
      </c>
    </row>
    <row r="34" spans="2:12" x14ac:dyDescent="0.3">
      <c r="B34" s="76" t="s">
        <v>113</v>
      </c>
      <c r="C34" s="49">
        <v>320717</v>
      </c>
      <c r="D34" s="50">
        <v>45</v>
      </c>
      <c r="E34" s="49">
        <v>8455</v>
      </c>
      <c r="F34" s="111">
        <f>+C34*E34*1000/$C$9</f>
        <v>2860955.4745272556</v>
      </c>
      <c r="G34" s="182">
        <v>2.9</v>
      </c>
      <c r="H34" s="60">
        <f t="shared" ref="H34" si="5">+F34/1000*G34</f>
        <v>8296.7708761290414</v>
      </c>
      <c r="I34" s="212"/>
      <c r="J34" s="110" t="s">
        <v>190</v>
      </c>
      <c r="K34" s="116"/>
      <c r="L34" s="60">
        <v>0</v>
      </c>
    </row>
    <row r="35" spans="2:12" x14ac:dyDescent="0.3">
      <c r="B35" s="76" t="s">
        <v>114</v>
      </c>
      <c r="C35" s="49">
        <v>331746</v>
      </c>
      <c r="D35" s="50">
        <v>45</v>
      </c>
      <c r="E35" s="49">
        <v>8937</v>
      </c>
      <c r="F35" s="49">
        <f>+C35*E35*1000/$C$9</f>
        <v>3128044.7618052852</v>
      </c>
      <c r="G35" s="182">
        <v>2.9</v>
      </c>
      <c r="H35" s="60">
        <f t="shared" ref="H35:H36" si="6">+F35/1000*G35</f>
        <v>9071.329809235327</v>
      </c>
      <c r="I35" s="212"/>
      <c r="J35" s="110" t="s">
        <v>191</v>
      </c>
      <c r="K35" s="49">
        <v>58156.17</v>
      </c>
      <c r="L35" s="60">
        <v>0</v>
      </c>
    </row>
    <row r="36" spans="2:12" x14ac:dyDescent="0.3">
      <c r="B36" s="201" t="s">
        <v>18</v>
      </c>
      <c r="C36" s="203">
        <v>743118.82019999996</v>
      </c>
      <c r="D36" s="202">
        <f>+SUM(D37:D38)</f>
        <v>112</v>
      </c>
      <c r="E36" s="203">
        <f>SUMPRODUCT(D37:D38,E37:E38)/D36</f>
        <v>9830</v>
      </c>
      <c r="F36" s="197">
        <f>+C36*E36*1000/$C$9</f>
        <v>7707034.166475174</v>
      </c>
      <c r="G36" s="204">
        <v>2.9</v>
      </c>
      <c r="H36" s="205">
        <f t="shared" si="6"/>
        <v>22350.399082778004</v>
      </c>
      <c r="I36" s="212"/>
      <c r="J36" s="108" t="s">
        <v>84</v>
      </c>
      <c r="K36" s="49">
        <v>386364.63308200007</v>
      </c>
      <c r="L36" s="60">
        <f>+H53</f>
        <v>11904.203427342671</v>
      </c>
    </row>
    <row r="37" spans="2:12" ht="15" thickBot="1" x14ac:dyDescent="0.35">
      <c r="B37" s="76" t="s">
        <v>105</v>
      </c>
      <c r="C37" s="49"/>
      <c r="D37" s="50">
        <v>56</v>
      </c>
      <c r="E37" s="49">
        <v>9830</v>
      </c>
      <c r="F37" s="111"/>
      <c r="G37" s="182"/>
      <c r="H37" s="60"/>
      <c r="I37" s="212"/>
      <c r="J37" s="132" t="s">
        <v>133</v>
      </c>
      <c r="K37" s="133">
        <v>35381.828000000001</v>
      </c>
      <c r="L37" s="60">
        <v>0</v>
      </c>
    </row>
    <row r="38" spans="2:12" x14ac:dyDescent="0.3">
      <c r="B38" s="76" t="s">
        <v>106</v>
      </c>
      <c r="C38" s="53"/>
      <c r="D38" s="50">
        <v>56</v>
      </c>
      <c r="E38" s="49">
        <v>9830</v>
      </c>
      <c r="F38" s="49"/>
      <c r="G38" s="182"/>
      <c r="H38" s="60"/>
      <c r="I38" s="212"/>
    </row>
    <row r="39" spans="2:12" x14ac:dyDescent="0.3">
      <c r="B39" s="201" t="s">
        <v>23</v>
      </c>
      <c r="C39" s="203"/>
      <c r="D39" s="202"/>
      <c r="E39" s="203"/>
      <c r="F39" s="198"/>
      <c r="G39" s="199"/>
      <c r="H39" s="205"/>
      <c r="I39" s="212"/>
    </row>
    <row r="40" spans="2:12" x14ac:dyDescent="0.3">
      <c r="B40" s="76" t="s">
        <v>107</v>
      </c>
      <c r="C40" s="53">
        <v>94768</v>
      </c>
      <c r="D40" s="50">
        <v>23</v>
      </c>
      <c r="E40" s="49">
        <v>10157</v>
      </c>
      <c r="F40" s="111">
        <f>+C40*E40*1000/$C$9</f>
        <v>1015553.1880099217</v>
      </c>
      <c r="G40" s="182">
        <v>2.9</v>
      </c>
      <c r="H40" s="60">
        <f t="shared" ref="H40:H43" si="7">+F40/1000*G40</f>
        <v>2945.1042452287729</v>
      </c>
      <c r="I40" s="212"/>
    </row>
    <row r="41" spans="2:12" x14ac:dyDescent="0.3">
      <c r="B41" s="76" t="s">
        <v>108</v>
      </c>
      <c r="C41" s="53">
        <v>123773.2823375</v>
      </c>
      <c r="D41" s="50">
        <v>23</v>
      </c>
      <c r="E41" s="49">
        <v>10050</v>
      </c>
      <c r="F41" s="49">
        <f>+C41*E41*1000/$C$9</f>
        <v>1312406.8121714159</v>
      </c>
      <c r="G41" s="182">
        <v>2.9</v>
      </c>
      <c r="H41" s="60">
        <f t="shared" si="7"/>
        <v>3805.9797552971058</v>
      </c>
      <c r="I41" s="212"/>
    </row>
    <row r="42" spans="2:12" x14ac:dyDescent="0.3">
      <c r="B42" s="76" t="s">
        <v>109</v>
      </c>
      <c r="C42" s="53">
        <v>109541.1267625</v>
      </c>
      <c r="D42" s="50">
        <v>25</v>
      </c>
      <c r="E42" s="49">
        <v>10060</v>
      </c>
      <c r="F42" s="111">
        <f>+C42*E42*1000/$C$9</f>
        <v>1162654.5369314435</v>
      </c>
      <c r="G42" s="182">
        <v>2.9</v>
      </c>
      <c r="H42" s="60">
        <f t="shared" si="7"/>
        <v>3371.6981571011861</v>
      </c>
      <c r="I42" s="212"/>
    </row>
    <row r="43" spans="2:12" x14ac:dyDescent="0.3">
      <c r="B43" s="76" t="s">
        <v>110</v>
      </c>
      <c r="C43" s="53">
        <v>77401.001000000004</v>
      </c>
      <c r="D43" s="50">
        <v>25</v>
      </c>
      <c r="E43" s="49">
        <v>10033</v>
      </c>
      <c r="F43" s="49">
        <f>+C43*E43*1000/$C$9</f>
        <v>819318.75354947208</v>
      </c>
      <c r="G43" s="182">
        <v>2.9</v>
      </c>
      <c r="H43" s="60">
        <f t="shared" si="7"/>
        <v>2376.0243852934686</v>
      </c>
      <c r="I43" s="212"/>
    </row>
    <row r="44" spans="2:12" x14ac:dyDescent="0.3">
      <c r="B44" s="201" t="s">
        <v>16</v>
      </c>
      <c r="C44" s="195"/>
      <c r="D44" s="202"/>
      <c r="E44" s="203"/>
      <c r="F44" s="198"/>
      <c r="G44" s="199"/>
      <c r="H44" s="200"/>
      <c r="I44" s="212"/>
    </row>
    <row r="45" spans="2:12" x14ac:dyDescent="0.3">
      <c r="B45" s="76" t="s">
        <v>78</v>
      </c>
      <c r="C45" s="49">
        <v>54977.579999999987</v>
      </c>
      <c r="D45" s="50">
        <v>22</v>
      </c>
      <c r="E45" s="49">
        <v>11971</v>
      </c>
      <c r="F45" s="111">
        <f>+C45*E45*1000/$C$9</f>
        <v>694370.97053545131</v>
      </c>
      <c r="G45" s="182">
        <v>2.9</v>
      </c>
      <c r="H45" s="60">
        <f t="shared" ref="H45:H48" si="8">+F45/1000*G45</f>
        <v>2013.6758145528088</v>
      </c>
      <c r="I45" s="212"/>
    </row>
    <row r="46" spans="2:12" x14ac:dyDescent="0.3">
      <c r="B46" s="76" t="s">
        <v>79</v>
      </c>
      <c r="C46" s="49">
        <v>44343.569999999992</v>
      </c>
      <c r="D46" s="50">
        <v>20</v>
      </c>
      <c r="E46" s="49">
        <v>12595</v>
      </c>
      <c r="F46" s="49">
        <f>+C46*E46*1000/$C$9</f>
        <v>589256.43257084419</v>
      </c>
      <c r="G46" s="182">
        <v>2.9</v>
      </c>
      <c r="H46" s="60">
        <f t="shared" si="8"/>
        <v>1708.8436544554479</v>
      </c>
      <c r="I46" s="212"/>
    </row>
    <row r="47" spans="2:12" x14ac:dyDescent="0.3">
      <c r="B47" s="76" t="s">
        <v>80</v>
      </c>
      <c r="C47" s="49">
        <v>35434.590000000004</v>
      </c>
      <c r="D47" s="50">
        <v>20</v>
      </c>
      <c r="E47" s="49">
        <v>12834</v>
      </c>
      <c r="F47" s="111">
        <f>+C47*E47*1000/$C$9</f>
        <v>479805.20296639547</v>
      </c>
      <c r="G47" s="182">
        <v>2.9</v>
      </c>
      <c r="H47" s="60">
        <f t="shared" si="8"/>
        <v>1391.4350886025468</v>
      </c>
      <c r="I47" s="212"/>
    </row>
    <row r="48" spans="2:12" x14ac:dyDescent="0.3">
      <c r="B48" s="76" t="s">
        <v>81</v>
      </c>
      <c r="C48" s="49">
        <v>47583.179999999993</v>
      </c>
      <c r="D48" s="50">
        <v>21</v>
      </c>
      <c r="E48" s="49">
        <v>12644</v>
      </c>
      <c r="F48" s="49">
        <f>+C48*E48*1000/$C$9</f>
        <v>634765.70679783123</v>
      </c>
      <c r="G48" s="182">
        <v>2.9</v>
      </c>
      <c r="H48" s="60">
        <f t="shared" si="8"/>
        <v>1840.8205497137103</v>
      </c>
      <c r="I48" s="212"/>
    </row>
    <row r="49" spans="2:9" x14ac:dyDescent="0.3">
      <c r="B49" s="76" t="s">
        <v>118</v>
      </c>
      <c r="C49" s="66"/>
      <c r="D49" s="105"/>
      <c r="E49" s="29"/>
      <c r="F49" s="180"/>
      <c r="G49" s="35"/>
      <c r="H49" s="67"/>
      <c r="I49" s="212"/>
    </row>
    <row r="50" spans="2:9" x14ac:dyDescent="0.3">
      <c r="B50" s="76" t="s">
        <v>119</v>
      </c>
      <c r="C50" s="70"/>
      <c r="D50" s="42"/>
      <c r="E50" s="43"/>
      <c r="F50" s="181"/>
      <c r="G50" s="73"/>
      <c r="H50" s="71"/>
      <c r="I50" s="212"/>
    </row>
    <row r="51" spans="2:9" x14ac:dyDescent="0.3">
      <c r="B51" s="76" t="s">
        <v>82</v>
      </c>
      <c r="C51" s="49">
        <v>304167.35200000001</v>
      </c>
      <c r="D51" s="50">
        <v>63</v>
      </c>
      <c r="E51" s="49">
        <v>10070</v>
      </c>
      <c r="F51" s="111">
        <f>+C51*E51*1000/$C$9</f>
        <v>3231599.8073889795</v>
      </c>
      <c r="G51" s="182">
        <v>2.9</v>
      </c>
      <c r="H51" s="60">
        <f t="shared" ref="H51:H53" si="9">+F51/1000*G51</f>
        <v>9371.6394414280403</v>
      </c>
      <c r="I51" s="212"/>
    </row>
    <row r="52" spans="2:9" x14ac:dyDescent="0.3">
      <c r="B52" s="76" t="s">
        <v>83</v>
      </c>
      <c r="C52" s="49">
        <v>274064.72799999994</v>
      </c>
      <c r="D52" s="50">
        <v>63</v>
      </c>
      <c r="E52" s="49">
        <v>10070</v>
      </c>
      <c r="F52" s="111">
        <f>+C52*E52*1000/$C$9</f>
        <v>2911777.0740132318</v>
      </c>
      <c r="G52" s="182">
        <v>2.9</v>
      </c>
      <c r="H52" s="60">
        <f t="shared" si="9"/>
        <v>8444.1535146383721</v>
      </c>
      <c r="I52" s="212"/>
    </row>
    <row r="53" spans="2:9" x14ac:dyDescent="0.3">
      <c r="B53" s="76" t="s">
        <v>84</v>
      </c>
      <c r="C53" s="49">
        <v>386364.63308200007</v>
      </c>
      <c r="D53" s="50">
        <v>63</v>
      </c>
      <c r="E53" s="49">
        <v>10070</v>
      </c>
      <c r="F53" s="49">
        <f>+C53*E53*1000/$C$9</f>
        <v>4104897.7335664383</v>
      </c>
      <c r="G53" s="182">
        <v>2.9</v>
      </c>
      <c r="H53" s="60">
        <f t="shared" si="9"/>
        <v>11904.203427342671</v>
      </c>
      <c r="I53" s="212"/>
    </row>
    <row r="54" spans="2:9" x14ac:dyDescent="0.3">
      <c r="B54" s="201" t="s">
        <v>21</v>
      </c>
      <c r="C54" s="195"/>
      <c r="D54" s="202"/>
      <c r="E54" s="203"/>
      <c r="F54" s="198"/>
      <c r="G54" s="199"/>
      <c r="H54" s="200"/>
      <c r="I54" s="212"/>
    </row>
    <row r="55" spans="2:9" x14ac:dyDescent="0.3">
      <c r="B55" s="76" t="s">
        <v>100</v>
      </c>
      <c r="C55" s="49">
        <v>80691.735044999994</v>
      </c>
      <c r="D55" s="50">
        <v>14</v>
      </c>
      <c r="E55" s="49">
        <v>11860</v>
      </c>
      <c r="F55" s="49">
        <f>+C55*E55*1000/$C$9</f>
        <v>1009692.7757506986</v>
      </c>
      <c r="G55" s="182">
        <v>2.9</v>
      </c>
      <c r="H55" s="60">
        <f t="shared" ref="H55" si="10">+F55/1000*G55</f>
        <v>2928.1090496770257</v>
      </c>
      <c r="I55" s="212"/>
    </row>
    <row r="56" spans="2:9" x14ac:dyDescent="0.3">
      <c r="B56" s="201" t="s">
        <v>22</v>
      </c>
      <c r="C56" s="195"/>
      <c r="D56" s="202"/>
      <c r="E56" s="203"/>
      <c r="F56" s="198"/>
      <c r="G56" s="199"/>
      <c r="H56" s="200"/>
      <c r="I56" s="212"/>
    </row>
    <row r="57" spans="2:9" x14ac:dyDescent="0.3">
      <c r="B57" s="76" t="s">
        <v>111</v>
      </c>
      <c r="C57" s="49">
        <v>46977.265625</v>
      </c>
      <c r="D57" s="50">
        <v>9</v>
      </c>
      <c r="E57" s="49">
        <v>12145</v>
      </c>
      <c r="F57" s="49">
        <f>+C57*E57*1000/$C$9</f>
        <v>601950.47252330882</v>
      </c>
      <c r="G57" s="182">
        <v>2.9</v>
      </c>
      <c r="H57" s="60">
        <f t="shared" ref="H57:H58" si="11">+F57/1000*G57</f>
        <v>1745.6563703175955</v>
      </c>
      <c r="I57" s="212"/>
    </row>
    <row r="58" spans="2:9" x14ac:dyDescent="0.3">
      <c r="B58" s="76" t="s">
        <v>112</v>
      </c>
      <c r="C58" s="49">
        <v>47451.323000000004</v>
      </c>
      <c r="D58" s="50">
        <v>9</v>
      </c>
      <c r="E58" s="49">
        <v>12145</v>
      </c>
      <c r="F58" s="49">
        <f>+C58*E58*1000/$C$9</f>
        <v>608024.88015619048</v>
      </c>
      <c r="G58" s="182">
        <v>2.9</v>
      </c>
      <c r="H58" s="60">
        <f t="shared" si="11"/>
        <v>1763.2721524529525</v>
      </c>
      <c r="I58" s="212"/>
    </row>
    <row r="59" spans="2:9" x14ac:dyDescent="0.3">
      <c r="B59" s="201" t="s">
        <v>17</v>
      </c>
      <c r="C59" s="195"/>
      <c r="D59" s="202"/>
      <c r="E59" s="203"/>
      <c r="F59" s="198"/>
      <c r="G59" s="199"/>
      <c r="H59" s="200"/>
      <c r="I59" s="212"/>
    </row>
    <row r="60" spans="2:9" x14ac:dyDescent="0.3">
      <c r="B60" s="76" t="s">
        <v>85</v>
      </c>
      <c r="C60" s="49">
        <v>73485.584999999992</v>
      </c>
      <c r="D60" s="50">
        <v>22</v>
      </c>
      <c r="E60" s="49">
        <v>11850</v>
      </c>
      <c r="F60" s="49">
        <f>+C60*E60*1000/$C$9</f>
        <v>918747.16559209197</v>
      </c>
      <c r="G60" s="182">
        <v>2.9</v>
      </c>
      <c r="H60" s="60">
        <f t="shared" ref="H60:H62" si="12">+F60/1000*G60</f>
        <v>2664.3667802170667</v>
      </c>
      <c r="I60" s="212"/>
    </row>
    <row r="61" spans="2:9" x14ac:dyDescent="0.3">
      <c r="B61" s="76" t="s">
        <v>86</v>
      </c>
      <c r="C61" s="49">
        <v>86746.319999999992</v>
      </c>
      <c r="D61" s="50">
        <v>22</v>
      </c>
      <c r="E61" s="49">
        <v>11672</v>
      </c>
      <c r="F61" s="49">
        <f>+C61*E61*1000/$C$9</f>
        <v>1068247.4011755434</v>
      </c>
      <c r="G61" s="182">
        <v>2.9</v>
      </c>
      <c r="H61" s="60">
        <f t="shared" si="12"/>
        <v>3097.9174634090759</v>
      </c>
      <c r="I61" s="212"/>
    </row>
    <row r="62" spans="2:9" x14ac:dyDescent="0.3">
      <c r="B62" s="201" t="s">
        <v>45</v>
      </c>
      <c r="C62" s="203">
        <v>412298.62000000005</v>
      </c>
      <c r="D62" s="202">
        <f>+SUM(D63:D66)</f>
        <v>72</v>
      </c>
      <c r="E62" s="203">
        <f>SUMPRODUCT(D63:D66,E63:E66)/D62</f>
        <v>12124</v>
      </c>
      <c r="F62" s="197">
        <f>+C62*E62*1000/$C$9</f>
        <v>5273917.2950896649</v>
      </c>
      <c r="G62" s="204">
        <v>2.9</v>
      </c>
      <c r="H62" s="205">
        <f t="shared" si="12"/>
        <v>15294.360155760027</v>
      </c>
      <c r="I62" s="212"/>
    </row>
    <row r="63" spans="2:9" x14ac:dyDescent="0.3">
      <c r="B63" s="76" t="s">
        <v>101</v>
      </c>
      <c r="C63" s="49"/>
      <c r="D63" s="50">
        <v>18</v>
      </c>
      <c r="E63" s="49">
        <v>12124</v>
      </c>
      <c r="F63" s="49"/>
      <c r="G63" s="182"/>
      <c r="H63" s="60"/>
      <c r="I63" s="212"/>
    </row>
    <row r="64" spans="2:9" x14ac:dyDescent="0.3">
      <c r="B64" s="76" t="s">
        <v>102</v>
      </c>
      <c r="C64" s="49"/>
      <c r="D64" s="50">
        <v>18</v>
      </c>
      <c r="E64" s="49">
        <v>12124</v>
      </c>
      <c r="F64" s="49"/>
      <c r="G64" s="182"/>
      <c r="H64" s="60"/>
      <c r="I64" s="212"/>
    </row>
    <row r="65" spans="2:9" x14ac:dyDescent="0.3">
      <c r="B65" s="76" t="s">
        <v>103</v>
      </c>
      <c r="C65" s="49"/>
      <c r="D65" s="50">
        <v>18</v>
      </c>
      <c r="E65" s="49">
        <v>12124</v>
      </c>
      <c r="F65" s="49"/>
      <c r="G65" s="182"/>
      <c r="H65" s="60"/>
      <c r="I65" s="212"/>
    </row>
    <row r="66" spans="2:9" x14ac:dyDescent="0.3">
      <c r="B66" s="76" t="s">
        <v>104</v>
      </c>
      <c r="C66" s="53"/>
      <c r="D66" s="48">
        <v>18</v>
      </c>
      <c r="E66" s="49">
        <v>12124</v>
      </c>
      <c r="F66" s="49"/>
      <c r="G66" s="182"/>
      <c r="H66" s="60"/>
      <c r="I66" s="212"/>
    </row>
    <row r="67" spans="2:9" x14ac:dyDescent="0.3">
      <c r="B67" s="13"/>
      <c r="C67" s="4"/>
      <c r="D67" s="4"/>
      <c r="E67" s="4"/>
      <c r="F67" s="4"/>
      <c r="G67" s="4"/>
    </row>
    <row r="68" spans="2:9" ht="28.8" x14ac:dyDescent="0.3">
      <c r="B68" s="84" t="s">
        <v>164</v>
      </c>
      <c r="C68" s="79" t="s">
        <v>165</v>
      </c>
      <c r="D68" s="99"/>
      <c r="E68" s="99"/>
      <c r="F68" s="4"/>
      <c r="G68" s="99"/>
      <c r="H68" s="9"/>
    </row>
    <row r="69" spans="2:9" x14ac:dyDescent="0.3">
      <c r="B69" s="340" t="s">
        <v>0</v>
      </c>
      <c r="C69" s="341">
        <f>SUM(C70:C132)</f>
        <v>2151428.9800358461</v>
      </c>
      <c r="D69" s="31"/>
      <c r="E69" s="31"/>
      <c r="F69" s="9"/>
      <c r="G69" s="31"/>
      <c r="H69" s="9"/>
    </row>
    <row r="70" spans="2:9" x14ac:dyDescent="0.3">
      <c r="B70" s="206" t="s">
        <v>26</v>
      </c>
      <c r="C70" s="195"/>
      <c r="D70" s="30"/>
      <c r="E70" s="30"/>
      <c r="F70" s="4"/>
      <c r="G70" s="30"/>
      <c r="H70" s="9"/>
    </row>
    <row r="71" spans="2:9" x14ac:dyDescent="0.3">
      <c r="B71" s="47" t="s">
        <v>142</v>
      </c>
      <c r="C71" s="49">
        <v>9271.0999999999949</v>
      </c>
      <c r="D71" s="30"/>
      <c r="E71" s="30"/>
      <c r="F71" s="4"/>
      <c r="G71" s="30"/>
      <c r="H71" s="9"/>
    </row>
    <row r="72" spans="2:9" x14ac:dyDescent="0.3">
      <c r="B72" s="47" t="s">
        <v>143</v>
      </c>
      <c r="C72" s="49">
        <v>4843.4999999999982</v>
      </c>
      <c r="D72" s="30"/>
      <c r="E72" s="30"/>
      <c r="F72" s="4"/>
      <c r="G72" s="30"/>
      <c r="H72" s="9"/>
    </row>
    <row r="73" spans="2:9" x14ac:dyDescent="0.3">
      <c r="B73" s="47" t="s">
        <v>144</v>
      </c>
      <c r="C73" s="49">
        <v>5760.9160000000011</v>
      </c>
      <c r="D73" s="30"/>
      <c r="E73" s="30"/>
      <c r="F73" s="4"/>
      <c r="G73" s="30"/>
      <c r="H73" s="9"/>
    </row>
    <row r="74" spans="2:9" x14ac:dyDescent="0.3">
      <c r="B74" s="206" t="s">
        <v>27</v>
      </c>
      <c r="C74" s="195"/>
      <c r="D74" s="30"/>
      <c r="E74" s="30"/>
      <c r="F74" s="4"/>
      <c r="G74" s="30"/>
      <c r="H74" s="9"/>
    </row>
    <row r="75" spans="2:9" x14ac:dyDescent="0.3">
      <c r="B75" s="47" t="s">
        <v>125</v>
      </c>
      <c r="C75" s="49">
        <v>7849.8739999999998</v>
      </c>
      <c r="D75" s="30"/>
      <c r="E75" s="30"/>
      <c r="F75" s="4"/>
      <c r="G75" s="30"/>
      <c r="H75" s="9"/>
    </row>
    <row r="76" spans="2:9" x14ac:dyDescent="0.3">
      <c r="B76" s="47" t="s">
        <v>126</v>
      </c>
      <c r="C76" s="49">
        <v>6640.692</v>
      </c>
      <c r="D76" s="30"/>
      <c r="E76" s="30"/>
      <c r="F76" s="4"/>
      <c r="G76" s="30"/>
      <c r="H76" s="9"/>
    </row>
    <row r="77" spans="2:9" x14ac:dyDescent="0.3">
      <c r="B77" s="47" t="s">
        <v>127</v>
      </c>
      <c r="C77" s="49">
        <v>21561.253000000001</v>
      </c>
      <c r="D77" s="30"/>
      <c r="E77" s="30"/>
      <c r="F77" s="4"/>
      <c r="G77" s="30"/>
      <c r="H77" s="9"/>
    </row>
    <row r="78" spans="2:9" x14ac:dyDescent="0.3">
      <c r="B78" s="206" t="s">
        <v>28</v>
      </c>
      <c r="C78" s="195"/>
      <c r="D78" s="30"/>
      <c r="E78" s="30"/>
      <c r="F78" s="4"/>
      <c r="G78" s="30"/>
      <c r="H78" s="9"/>
    </row>
    <row r="79" spans="2:9" x14ac:dyDescent="0.3">
      <c r="B79" s="47" t="s">
        <v>156</v>
      </c>
      <c r="C79" s="49">
        <v>79039.576000000001</v>
      </c>
      <c r="D79" s="30"/>
      <c r="E79" s="30"/>
      <c r="F79" s="4"/>
      <c r="G79" s="30"/>
      <c r="H79" s="9"/>
    </row>
    <row r="80" spans="2:9" x14ac:dyDescent="0.3">
      <c r="B80" s="47" t="s">
        <v>157</v>
      </c>
      <c r="C80" s="49">
        <v>81435.836999999985</v>
      </c>
      <c r="D80" s="30"/>
      <c r="E80" s="30"/>
      <c r="F80" s="4"/>
      <c r="G80" s="30"/>
      <c r="H80" s="9"/>
    </row>
    <row r="81" spans="2:8" x14ac:dyDescent="0.3">
      <c r="B81" s="206" t="s">
        <v>32</v>
      </c>
      <c r="C81" s="195"/>
      <c r="D81" s="30"/>
      <c r="E81" s="30"/>
      <c r="F81" s="4"/>
      <c r="G81" s="30"/>
      <c r="H81" s="9"/>
    </row>
    <row r="82" spans="2:8" x14ac:dyDescent="0.3">
      <c r="B82" s="47" t="s">
        <v>148</v>
      </c>
      <c r="C82" s="49">
        <v>43231.955000000002</v>
      </c>
      <c r="D82" s="30"/>
      <c r="E82" s="30"/>
      <c r="F82" s="4"/>
      <c r="G82" s="30"/>
      <c r="H82" s="9"/>
    </row>
    <row r="83" spans="2:8" x14ac:dyDescent="0.3">
      <c r="B83" s="206" t="s">
        <v>29</v>
      </c>
      <c r="C83" s="195"/>
      <c r="D83" s="30"/>
      <c r="E83" s="30"/>
      <c r="F83" s="4"/>
      <c r="G83" s="30"/>
      <c r="H83" s="9"/>
    </row>
    <row r="84" spans="2:8" x14ac:dyDescent="0.3">
      <c r="B84" s="47" t="s">
        <v>149</v>
      </c>
      <c r="C84" s="49">
        <v>5956.3567500000081</v>
      </c>
      <c r="D84" s="30"/>
      <c r="E84" s="30"/>
      <c r="F84" s="4"/>
      <c r="G84" s="30"/>
      <c r="H84" s="9"/>
    </row>
    <row r="85" spans="2:8" x14ac:dyDescent="0.3">
      <c r="B85" s="47" t="s">
        <v>173</v>
      </c>
      <c r="C85" s="49">
        <v>106123.25798427663</v>
      </c>
      <c r="D85" s="30"/>
      <c r="E85" s="30"/>
      <c r="F85" s="4"/>
      <c r="G85" s="30"/>
      <c r="H85" s="9"/>
    </row>
    <row r="86" spans="2:8" x14ac:dyDescent="0.3">
      <c r="B86" s="206" t="s">
        <v>30</v>
      </c>
      <c r="C86" s="195"/>
      <c r="D86" s="30"/>
      <c r="E86" s="30"/>
      <c r="F86" s="4"/>
      <c r="G86" s="30"/>
      <c r="H86" s="9"/>
    </row>
    <row r="87" spans="2:8" x14ac:dyDescent="0.3">
      <c r="B87" s="47" t="s">
        <v>145</v>
      </c>
      <c r="C87" s="49">
        <v>12172.712</v>
      </c>
      <c r="D87" s="30"/>
      <c r="E87" s="30"/>
      <c r="F87" s="4"/>
      <c r="G87" s="30"/>
      <c r="H87" s="9"/>
    </row>
    <row r="88" spans="2:8" x14ac:dyDescent="0.3">
      <c r="B88" s="47" t="s">
        <v>146</v>
      </c>
      <c r="C88" s="49">
        <v>14106.915000000001</v>
      </c>
      <c r="D88" s="30"/>
      <c r="E88" s="30"/>
      <c r="F88" s="4"/>
      <c r="G88" s="30"/>
      <c r="H88" s="9"/>
    </row>
    <row r="89" spans="2:8" x14ac:dyDescent="0.3">
      <c r="B89" s="47" t="s">
        <v>147</v>
      </c>
      <c r="C89" s="49">
        <v>11843.383000000002</v>
      </c>
      <c r="D89" s="30"/>
      <c r="E89" s="30"/>
      <c r="F89" s="4"/>
      <c r="G89" s="30"/>
      <c r="H89" s="9"/>
    </row>
    <row r="90" spans="2:8" x14ac:dyDescent="0.3">
      <c r="B90" s="206" t="s">
        <v>31</v>
      </c>
      <c r="C90" s="195"/>
      <c r="D90" s="30"/>
      <c r="E90" s="30"/>
      <c r="F90" s="4"/>
      <c r="G90" s="30"/>
      <c r="H90" s="9"/>
    </row>
    <row r="91" spans="2:8" x14ac:dyDescent="0.3">
      <c r="B91" s="47" t="s">
        <v>136</v>
      </c>
      <c r="C91" s="49">
        <v>63528.492000000006</v>
      </c>
      <c r="D91" s="30"/>
      <c r="E91" s="30"/>
      <c r="F91" s="4"/>
      <c r="G91" s="30"/>
      <c r="H91" s="9"/>
    </row>
    <row r="92" spans="2:8" x14ac:dyDescent="0.3">
      <c r="B92" s="47" t="s">
        <v>137</v>
      </c>
      <c r="C92" s="49">
        <v>62589.967000000004</v>
      </c>
      <c r="D92" s="30"/>
      <c r="E92" s="30"/>
      <c r="F92" s="4"/>
      <c r="G92" s="30"/>
      <c r="H92" s="9"/>
    </row>
    <row r="93" spans="2:8" x14ac:dyDescent="0.3">
      <c r="B93" s="206" t="s">
        <v>3</v>
      </c>
      <c r="C93" s="195"/>
      <c r="D93" s="30"/>
      <c r="E93" s="30"/>
      <c r="F93" s="4"/>
      <c r="G93" s="30"/>
      <c r="H93" s="9"/>
    </row>
    <row r="94" spans="2:8" x14ac:dyDescent="0.3">
      <c r="B94" s="47" t="s">
        <v>121</v>
      </c>
      <c r="C94" s="49">
        <v>280767.663</v>
      </c>
      <c r="D94" s="30"/>
      <c r="E94" s="30"/>
      <c r="F94" s="4"/>
      <c r="G94" s="30"/>
      <c r="H94" s="9"/>
    </row>
    <row r="95" spans="2:8" x14ac:dyDescent="0.3">
      <c r="B95" s="206" t="s">
        <v>33</v>
      </c>
      <c r="C95" s="195"/>
      <c r="D95" s="30"/>
      <c r="E95" s="30"/>
      <c r="F95" s="4"/>
      <c r="G95" s="30"/>
      <c r="H95" s="9"/>
    </row>
    <row r="96" spans="2:8" x14ac:dyDescent="0.3">
      <c r="B96" s="47" t="s">
        <v>128</v>
      </c>
      <c r="C96" s="49">
        <v>7186.3240000000005</v>
      </c>
      <c r="D96" s="30"/>
      <c r="E96" s="30"/>
      <c r="F96" s="4"/>
      <c r="G96" s="30"/>
      <c r="H96" s="9"/>
    </row>
    <row r="97" spans="2:8" x14ac:dyDescent="0.3">
      <c r="B97" s="47" t="s">
        <v>129</v>
      </c>
      <c r="C97" s="49">
        <v>6993.1389999999992</v>
      </c>
      <c r="D97" s="30"/>
      <c r="E97" s="30"/>
      <c r="F97" s="4"/>
      <c r="G97" s="30"/>
      <c r="H97" s="9"/>
    </row>
    <row r="98" spans="2:8" x14ac:dyDescent="0.3">
      <c r="B98" s="47" t="s">
        <v>130</v>
      </c>
      <c r="C98" s="49">
        <v>6822.6170000000011</v>
      </c>
      <c r="D98" s="30"/>
      <c r="E98" s="30"/>
      <c r="F98" s="4"/>
      <c r="G98" s="30"/>
      <c r="H98" s="9"/>
    </row>
    <row r="99" spans="2:8" x14ac:dyDescent="0.3">
      <c r="B99" s="47" t="s">
        <v>131</v>
      </c>
      <c r="C99" s="49">
        <v>5297.4830000000002</v>
      </c>
      <c r="D99" s="30"/>
      <c r="E99" s="30"/>
      <c r="F99" s="4"/>
      <c r="G99" s="30"/>
      <c r="H99" s="9"/>
    </row>
    <row r="100" spans="2:8" x14ac:dyDescent="0.3">
      <c r="B100" s="47" t="s">
        <v>132</v>
      </c>
      <c r="C100" s="49">
        <v>90321.68</v>
      </c>
      <c r="D100" s="30"/>
      <c r="E100" s="30"/>
      <c r="F100" s="4"/>
      <c r="G100" s="30"/>
      <c r="H100" s="9"/>
    </row>
    <row r="101" spans="2:8" x14ac:dyDescent="0.3">
      <c r="B101" s="206" t="s">
        <v>34</v>
      </c>
      <c r="C101" s="195"/>
      <c r="D101" s="30"/>
      <c r="E101" s="30"/>
      <c r="F101" s="4"/>
      <c r="G101" s="30"/>
      <c r="H101" s="9"/>
    </row>
    <row r="102" spans="2:8" x14ac:dyDescent="0.3">
      <c r="B102" s="47" t="s">
        <v>138</v>
      </c>
      <c r="C102" s="49">
        <v>79080.590999999986</v>
      </c>
      <c r="D102" s="30"/>
      <c r="E102" s="30"/>
      <c r="F102" s="4"/>
      <c r="G102" s="30"/>
      <c r="H102" s="9"/>
    </row>
    <row r="103" spans="2:8" x14ac:dyDescent="0.3">
      <c r="B103" s="47" t="s">
        <v>139</v>
      </c>
      <c r="C103" s="49">
        <v>77042.933999999994</v>
      </c>
      <c r="D103" s="30"/>
      <c r="E103" s="30"/>
      <c r="F103" s="4"/>
      <c r="G103" s="30"/>
      <c r="H103" s="9"/>
    </row>
    <row r="104" spans="2:8" x14ac:dyDescent="0.3">
      <c r="B104" s="206" t="s">
        <v>35</v>
      </c>
      <c r="C104" s="195"/>
      <c r="D104" s="30"/>
      <c r="E104" s="30"/>
      <c r="F104" s="4"/>
      <c r="G104" s="30"/>
      <c r="H104" s="9"/>
    </row>
    <row r="105" spans="2:8" x14ac:dyDescent="0.3">
      <c r="B105" s="47" t="s">
        <v>158</v>
      </c>
      <c r="C105" s="49">
        <v>95760.286999999982</v>
      </c>
      <c r="D105" s="30"/>
      <c r="E105" s="30"/>
      <c r="F105" s="4"/>
      <c r="G105" s="30"/>
      <c r="H105" s="9"/>
    </row>
    <row r="106" spans="2:8" x14ac:dyDescent="0.3">
      <c r="B106" s="47" t="s">
        <v>159</v>
      </c>
      <c r="C106" s="49">
        <v>93799.604999999996</v>
      </c>
      <c r="D106" s="30"/>
      <c r="E106" s="30"/>
      <c r="F106" s="4"/>
      <c r="G106" s="30"/>
      <c r="H106" s="9"/>
    </row>
    <row r="107" spans="2:8" x14ac:dyDescent="0.3">
      <c r="B107" s="206" t="s">
        <v>4</v>
      </c>
      <c r="C107" s="195"/>
      <c r="D107" s="30"/>
      <c r="E107" s="30"/>
      <c r="F107" s="4"/>
      <c r="G107" s="30"/>
      <c r="H107" s="9"/>
    </row>
    <row r="108" spans="2:8" x14ac:dyDescent="0.3">
      <c r="B108" s="47" t="s">
        <v>151</v>
      </c>
      <c r="C108" s="49">
        <v>14119.3</v>
      </c>
      <c r="D108" s="30"/>
      <c r="E108" s="30"/>
      <c r="F108" s="4"/>
      <c r="G108" s="30"/>
      <c r="H108" s="9"/>
    </row>
    <row r="109" spans="2:8" x14ac:dyDescent="0.3">
      <c r="B109" s="206" t="s">
        <v>36</v>
      </c>
      <c r="C109" s="195"/>
      <c r="D109" s="30"/>
      <c r="E109" s="30"/>
      <c r="F109" s="4"/>
      <c r="G109" s="30"/>
      <c r="H109" s="9"/>
    </row>
    <row r="110" spans="2:8" x14ac:dyDescent="0.3">
      <c r="B110" s="47" t="s">
        <v>152</v>
      </c>
      <c r="C110" s="49">
        <v>40270.455000000002</v>
      </c>
      <c r="D110" s="30"/>
      <c r="E110" s="30"/>
      <c r="F110" s="4"/>
      <c r="G110" s="30"/>
      <c r="H110" s="9"/>
    </row>
    <row r="111" spans="2:8" x14ac:dyDescent="0.3">
      <c r="B111" s="206" t="s">
        <v>37</v>
      </c>
      <c r="C111" s="195"/>
      <c r="D111" s="30"/>
      <c r="E111" s="30"/>
      <c r="F111" s="4"/>
      <c r="G111" s="30"/>
      <c r="H111" s="9"/>
    </row>
    <row r="112" spans="2:8" x14ac:dyDescent="0.3">
      <c r="B112" s="47" t="s">
        <v>153</v>
      </c>
      <c r="C112" s="49">
        <v>14596.415000000001</v>
      </c>
      <c r="D112" s="30"/>
      <c r="E112" s="30"/>
      <c r="F112" s="4"/>
      <c r="G112" s="30"/>
      <c r="H112" s="9"/>
    </row>
    <row r="113" spans="2:8" x14ac:dyDescent="0.3">
      <c r="B113" s="206" t="s">
        <v>38</v>
      </c>
      <c r="C113" s="195"/>
      <c r="D113" s="30"/>
      <c r="E113" s="30"/>
      <c r="F113" s="4"/>
      <c r="G113" s="30"/>
      <c r="H113" s="9"/>
    </row>
    <row r="114" spans="2:8" x14ac:dyDescent="0.3">
      <c r="B114" s="47" t="s">
        <v>140</v>
      </c>
      <c r="C114" s="49">
        <v>4114</v>
      </c>
      <c r="D114" s="30"/>
      <c r="E114" s="30"/>
      <c r="F114" s="4"/>
      <c r="G114" s="30"/>
      <c r="H114" s="9"/>
    </row>
    <row r="115" spans="2:8" x14ac:dyDescent="0.3">
      <c r="B115" s="47" t="s">
        <v>141</v>
      </c>
      <c r="C115" s="49">
        <v>4195</v>
      </c>
      <c r="D115" s="30"/>
      <c r="E115" s="30"/>
      <c r="F115" s="4"/>
      <c r="G115" s="30"/>
      <c r="H115" s="9"/>
    </row>
    <row r="116" spans="2:8" x14ac:dyDescent="0.3">
      <c r="B116" s="206" t="s">
        <v>39</v>
      </c>
      <c r="C116" s="195"/>
      <c r="D116" s="30"/>
      <c r="E116" s="30"/>
      <c r="F116" s="4"/>
      <c r="G116" s="30"/>
      <c r="H116" s="9"/>
    </row>
    <row r="117" spans="2:8" x14ac:dyDescent="0.3">
      <c r="B117" s="47" t="s">
        <v>154</v>
      </c>
      <c r="C117" s="49">
        <v>16964.522000000001</v>
      </c>
      <c r="D117" s="30"/>
      <c r="E117" s="30"/>
      <c r="F117" s="4"/>
      <c r="G117" s="30"/>
      <c r="H117" s="9"/>
    </row>
    <row r="118" spans="2:8" x14ac:dyDescent="0.3">
      <c r="B118" s="206" t="s">
        <v>5</v>
      </c>
      <c r="C118" s="195"/>
      <c r="D118" s="30"/>
      <c r="E118" s="30"/>
      <c r="F118" s="4"/>
      <c r="G118" s="30"/>
      <c r="H118" s="9"/>
    </row>
    <row r="119" spans="2:8" x14ac:dyDescent="0.3">
      <c r="B119" s="47" t="s">
        <v>155</v>
      </c>
      <c r="C119" s="49">
        <v>3310.3999999999996</v>
      </c>
      <c r="D119" s="30"/>
      <c r="E119" s="30"/>
      <c r="F119" s="4"/>
      <c r="G119" s="30"/>
      <c r="H119" s="9"/>
    </row>
    <row r="120" spans="2:8" x14ac:dyDescent="0.3">
      <c r="B120" s="206" t="s">
        <v>40</v>
      </c>
      <c r="C120" s="195"/>
      <c r="D120" s="30"/>
      <c r="E120" s="30"/>
      <c r="F120" s="4"/>
      <c r="G120" s="30"/>
      <c r="H120" s="9"/>
    </row>
    <row r="121" spans="2:8" x14ac:dyDescent="0.3">
      <c r="B121" s="47" t="s">
        <v>135</v>
      </c>
      <c r="C121" s="49">
        <v>66898.476999999999</v>
      </c>
      <c r="D121" s="30"/>
      <c r="E121" s="30"/>
      <c r="F121" s="4"/>
      <c r="G121" s="30"/>
      <c r="H121" s="9"/>
    </row>
    <row r="122" spans="2:8" x14ac:dyDescent="0.3">
      <c r="B122" s="206" t="s">
        <v>2</v>
      </c>
      <c r="C122" s="195"/>
      <c r="D122" s="30"/>
      <c r="E122" s="30"/>
      <c r="F122" s="4"/>
      <c r="G122" s="30"/>
      <c r="H122" s="9"/>
    </row>
    <row r="123" spans="2:8" x14ac:dyDescent="0.3">
      <c r="B123" s="47" t="s">
        <v>122</v>
      </c>
      <c r="C123" s="49">
        <v>418380.17099999997</v>
      </c>
      <c r="D123" s="30"/>
      <c r="E123" s="30"/>
      <c r="F123" s="4"/>
      <c r="G123" s="30"/>
      <c r="H123" s="9"/>
    </row>
    <row r="124" spans="2:8" x14ac:dyDescent="0.3">
      <c r="B124" s="206" t="s">
        <v>42</v>
      </c>
      <c r="C124" s="195"/>
      <c r="D124" s="30"/>
      <c r="E124" s="30"/>
      <c r="F124" s="4"/>
      <c r="G124" s="30"/>
      <c r="H124" s="9"/>
    </row>
    <row r="125" spans="2:8" x14ac:dyDescent="0.3">
      <c r="B125" s="47" t="s">
        <v>133</v>
      </c>
      <c r="C125" s="49">
        <v>35381.828000000001</v>
      </c>
      <c r="D125" s="30"/>
      <c r="E125" s="30"/>
      <c r="F125" s="4"/>
      <c r="G125" s="30"/>
      <c r="H125" s="9"/>
    </row>
    <row r="126" spans="2:8" x14ac:dyDescent="0.3">
      <c r="B126" s="47" t="s">
        <v>134</v>
      </c>
      <c r="C126" s="49">
        <v>43128.714000000007</v>
      </c>
      <c r="D126" s="30"/>
      <c r="E126" s="30"/>
      <c r="F126" s="4"/>
      <c r="G126" s="30"/>
      <c r="H126" s="9"/>
    </row>
    <row r="127" spans="2:8" x14ac:dyDescent="0.3">
      <c r="B127" s="206" t="s">
        <v>43</v>
      </c>
      <c r="C127" s="195"/>
      <c r="D127" s="30"/>
      <c r="E127" s="30"/>
      <c r="F127" s="4"/>
      <c r="G127" s="30"/>
      <c r="H127" s="9"/>
    </row>
    <row r="128" spans="2:8" x14ac:dyDescent="0.3">
      <c r="B128" s="47" t="s">
        <v>124</v>
      </c>
      <c r="C128" s="49">
        <v>8884.2089999999989</v>
      </c>
      <c r="D128" s="30"/>
      <c r="E128" s="30"/>
      <c r="F128" s="4"/>
      <c r="G128" s="30"/>
      <c r="H128" s="9"/>
    </row>
    <row r="129" spans="2:8" x14ac:dyDescent="0.3">
      <c r="B129" s="206" t="s">
        <v>46</v>
      </c>
      <c r="C129" s="195"/>
      <c r="D129" s="30"/>
      <c r="E129" s="30"/>
      <c r="F129" s="4"/>
      <c r="G129" s="30"/>
      <c r="H129" s="9"/>
    </row>
    <row r="130" spans="2:8" x14ac:dyDescent="0.3">
      <c r="B130" s="47" t="s">
        <v>150</v>
      </c>
      <c r="C130" s="49">
        <v>190812.26330156953</v>
      </c>
      <c r="D130" s="30"/>
      <c r="E130" s="30"/>
      <c r="F130" s="4"/>
      <c r="G130" s="30"/>
      <c r="H130" s="9"/>
    </row>
    <row r="131" spans="2:8" x14ac:dyDescent="0.3">
      <c r="B131" s="206" t="s">
        <v>1</v>
      </c>
      <c r="C131" s="195"/>
      <c r="D131" s="30"/>
      <c r="E131" s="30"/>
      <c r="F131" s="4"/>
      <c r="G131" s="30"/>
      <c r="H131" s="9"/>
    </row>
    <row r="132" spans="2:8" x14ac:dyDescent="0.3">
      <c r="B132" s="47" t="s">
        <v>123</v>
      </c>
      <c r="C132" s="49">
        <v>11345.115999999998</v>
      </c>
      <c r="D132" s="30"/>
      <c r="E132" s="30"/>
      <c r="F132" s="4"/>
      <c r="G132" s="30"/>
      <c r="H132" s="9"/>
    </row>
    <row r="133" spans="2:8" x14ac:dyDescent="0.3">
      <c r="F133" s="9"/>
    </row>
    <row r="134" spans="2:8" ht="28.8" x14ac:dyDescent="0.3">
      <c r="B134" s="84" t="s">
        <v>164</v>
      </c>
      <c r="C134" s="79" t="s">
        <v>165</v>
      </c>
      <c r="D134" s="99"/>
      <c r="E134" s="99"/>
      <c r="F134" s="4"/>
    </row>
    <row r="135" spans="2:8" x14ac:dyDescent="0.3">
      <c r="B135" s="185" t="s">
        <v>12</v>
      </c>
      <c r="C135" s="188">
        <f>+SUM(C136:C137)</f>
        <v>58156.17</v>
      </c>
      <c r="D135" s="31"/>
      <c r="E135" s="31"/>
      <c r="F135" s="14"/>
    </row>
    <row r="136" spans="2:8" x14ac:dyDescent="0.3">
      <c r="B136" s="206" t="s">
        <v>13</v>
      </c>
      <c r="C136" s="195"/>
      <c r="D136" s="30"/>
      <c r="E136" s="30"/>
      <c r="F136" s="4"/>
    </row>
    <row r="137" spans="2:8" x14ac:dyDescent="0.3">
      <c r="B137" s="47" t="s">
        <v>191</v>
      </c>
      <c r="C137" s="49">
        <v>58156.17</v>
      </c>
    </row>
  </sheetData>
  <pageMargins left="0.7" right="0.7" top="0.75" bottom="0.75" header="0.3" footer="0.3"/>
  <pageSetup orientation="portrait" verticalDpi="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3:AE59"/>
  <sheetViews>
    <sheetView zoomScale="70" zoomScaleNormal="70" workbookViewId="0"/>
  </sheetViews>
  <sheetFormatPr baseColWidth="10" defaultColWidth="9.109375" defaultRowHeight="14.4" x14ac:dyDescent="0.3"/>
  <cols>
    <col min="1" max="1" width="9.109375" style="1"/>
    <col min="2" max="2" width="39.6640625" style="1" customWidth="1"/>
    <col min="3" max="3" width="10.44140625" style="9" customWidth="1"/>
    <col min="4" max="4" width="13.5546875" style="9" customWidth="1"/>
    <col min="5" max="5" width="9.5546875" style="9" bestFit="1" customWidth="1"/>
    <col min="6" max="6" width="15.109375" style="9" customWidth="1"/>
    <col min="7" max="7" width="9.5546875" style="9" bestFit="1" customWidth="1"/>
    <col min="8" max="8" width="13.109375" style="9" customWidth="1"/>
    <col min="9" max="9" width="9.5546875" style="9" bestFit="1" customWidth="1"/>
    <col min="10" max="10" width="14.6640625" style="9" customWidth="1"/>
    <col min="11" max="11" width="9.5546875" style="9" bestFit="1" customWidth="1"/>
    <col min="12" max="12" width="14.109375" style="9" customWidth="1"/>
    <col min="13" max="13" width="9.5546875" style="9" bestFit="1" customWidth="1"/>
    <col min="14" max="14" width="18.33203125" style="9" customWidth="1"/>
    <col min="15" max="20" width="10.5546875" style="9" bestFit="1" customWidth="1"/>
    <col min="21" max="21" width="11.6640625" style="9" bestFit="1" customWidth="1"/>
    <col min="22" max="22" width="3.109375" style="9" customWidth="1"/>
    <col min="23" max="23" width="9.109375" style="9"/>
    <col min="24" max="24" width="17.44140625" style="9" customWidth="1"/>
    <col min="25" max="27" width="9.109375" style="9"/>
    <col min="28" max="16384" width="9.109375" style="1"/>
  </cols>
  <sheetData>
    <row r="3" spans="2:31" ht="23.4" x14ac:dyDescent="0.45">
      <c r="B3" s="333" t="s">
        <v>396</v>
      </c>
      <c r="C3" s="333">
        <v>2008</v>
      </c>
    </row>
    <row r="6" spans="2:31" x14ac:dyDescent="0.3">
      <c r="B6" s="370" t="s">
        <v>115</v>
      </c>
      <c r="C6" s="371">
        <v>3412.14</v>
      </c>
      <c r="D6" s="36"/>
    </row>
    <row r="7" spans="2:31" ht="15.6" x14ac:dyDescent="0.3">
      <c r="B7" s="372" t="s">
        <v>120</v>
      </c>
      <c r="C7" s="373">
        <v>5.6099999999999997E-2</v>
      </c>
      <c r="D7" s="36"/>
    </row>
    <row r="8" spans="2:31" x14ac:dyDescent="0.3">
      <c r="B8" s="374" t="s">
        <v>116</v>
      </c>
      <c r="C8" s="375">
        <v>3.6</v>
      </c>
      <c r="D8" s="36"/>
    </row>
    <row r="9" spans="2:31" s="9" customFormat="1" x14ac:dyDescent="0.3">
      <c r="B9" s="14"/>
      <c r="D9" s="14"/>
      <c r="E9" s="23"/>
      <c r="F9" s="23"/>
      <c r="G9" s="23"/>
      <c r="H9" s="23"/>
      <c r="I9" s="23"/>
      <c r="J9" s="23"/>
      <c r="K9" s="23"/>
      <c r="L9" s="23"/>
      <c r="M9" s="23"/>
      <c r="N9" s="23"/>
      <c r="O9" s="23"/>
      <c r="P9" s="23"/>
      <c r="Q9" s="23"/>
      <c r="R9" s="23"/>
      <c r="S9" s="23"/>
      <c r="T9" s="23"/>
      <c r="U9" s="23"/>
      <c r="W9" s="23"/>
      <c r="X9" s="23"/>
    </row>
    <row r="10" spans="2:31" ht="15" customHeight="1" x14ac:dyDescent="0.3">
      <c r="B10" s="342"/>
      <c r="C10" s="343"/>
      <c r="D10" s="344">
        <v>2007</v>
      </c>
      <c r="E10" s="345"/>
      <c r="F10" s="346"/>
      <c r="G10" s="343"/>
      <c r="H10" s="344">
        <v>2008</v>
      </c>
      <c r="I10" s="345"/>
      <c r="J10" s="346"/>
      <c r="K10" s="343"/>
      <c r="L10" s="344">
        <v>2009</v>
      </c>
      <c r="M10" s="345"/>
      <c r="N10" s="346"/>
      <c r="AB10" s="9"/>
      <c r="AC10" s="9"/>
      <c r="AD10" s="9"/>
      <c r="AE10" s="9"/>
    </row>
    <row r="11" spans="2:31" s="38" customFormat="1" ht="30" x14ac:dyDescent="0.3">
      <c r="B11" s="347" t="s">
        <v>117</v>
      </c>
      <c r="C11" s="348" t="s">
        <v>397</v>
      </c>
      <c r="D11" s="349" t="s">
        <v>169</v>
      </c>
      <c r="E11" s="349" t="s">
        <v>170</v>
      </c>
      <c r="F11" s="349" t="s">
        <v>209</v>
      </c>
      <c r="G11" s="348" t="s">
        <v>397</v>
      </c>
      <c r="H11" s="349" t="s">
        <v>398</v>
      </c>
      <c r="I11" s="349" t="s">
        <v>170</v>
      </c>
      <c r="J11" s="349" t="s">
        <v>209</v>
      </c>
      <c r="K11" s="348" t="s">
        <v>168</v>
      </c>
      <c r="L11" s="349" t="s">
        <v>169</v>
      </c>
      <c r="M11" s="349" t="s">
        <v>170</v>
      </c>
      <c r="N11" s="349" t="s">
        <v>209</v>
      </c>
      <c r="O11" s="39"/>
      <c r="P11" s="39"/>
      <c r="Q11" s="39"/>
      <c r="R11" s="39"/>
      <c r="S11" s="39"/>
      <c r="T11" s="39"/>
      <c r="U11" s="39"/>
      <c r="V11" s="39"/>
      <c r="W11" s="39"/>
      <c r="X11" s="39"/>
      <c r="Y11" s="39"/>
      <c r="Z11" s="40"/>
      <c r="AA11" s="40"/>
      <c r="AB11" s="40"/>
      <c r="AC11" s="40"/>
      <c r="AD11" s="40"/>
      <c r="AE11" s="40"/>
    </row>
    <row r="12" spans="2:31" x14ac:dyDescent="0.3">
      <c r="B12" s="357" t="s">
        <v>19</v>
      </c>
      <c r="C12" s="358">
        <f>+SUM(C13:C22)</f>
        <v>41</v>
      </c>
      <c r="D12" s="359">
        <f>SUMPRODUCT(C13:C22,D13:D22)/C12</f>
        <v>10545.390243902439</v>
      </c>
      <c r="E12" s="360">
        <f>1/(D12/$C$6)</f>
        <v>0.32356697296934739</v>
      </c>
      <c r="F12" s="361">
        <f>+$C$7*$C$8/E12</f>
        <v>0.62416753522966129</v>
      </c>
      <c r="G12" s="362">
        <f>+AVERAGE(C12,K12)</f>
        <v>44</v>
      </c>
      <c r="H12" s="359">
        <f>+AVERAGE(D12,L12)</f>
        <v>10449.939802802284</v>
      </c>
      <c r="I12" s="360">
        <f t="shared" ref="I12:J12" si="0">+AVERAGE(E12,M12)</f>
        <v>0.32654969951592128</v>
      </c>
      <c r="J12" s="363">
        <f t="shared" si="0"/>
        <v>0.61851795136598997</v>
      </c>
      <c r="K12" s="358">
        <f>+SUM(K13:K25)</f>
        <v>47</v>
      </c>
      <c r="L12" s="359">
        <f>SUMPRODUCT(K13:K25,L13:L25)/K12</f>
        <v>10354.489361702128</v>
      </c>
      <c r="M12" s="360">
        <f>1/(L12/$C$6)</f>
        <v>0.32953242606249522</v>
      </c>
      <c r="N12" s="363">
        <f>+$C$7*$C$8/M12</f>
        <v>0.61286836750231877</v>
      </c>
      <c r="O12" s="4"/>
      <c r="P12" s="4"/>
      <c r="Q12" s="4"/>
      <c r="R12" s="4"/>
      <c r="S12" s="4"/>
      <c r="T12" s="4"/>
      <c r="U12" s="4"/>
      <c r="V12" s="4"/>
      <c r="W12" s="4"/>
      <c r="X12" s="4"/>
      <c r="Y12" s="4"/>
      <c r="AA12" s="28"/>
      <c r="AB12" s="9"/>
      <c r="AC12" s="9"/>
      <c r="AD12" s="9"/>
      <c r="AE12" s="9"/>
    </row>
    <row r="13" spans="2:31" x14ac:dyDescent="0.3">
      <c r="B13" s="47" t="s">
        <v>87</v>
      </c>
      <c r="C13" s="50">
        <v>3</v>
      </c>
      <c r="D13" s="49">
        <v>10201</v>
      </c>
      <c r="E13" s="55">
        <f>1/(D13/$C$6)</f>
        <v>0.33449073620233311</v>
      </c>
      <c r="F13" s="350">
        <f>+$C$7*$C$8/E12</f>
        <v>0.62416753522966129</v>
      </c>
      <c r="G13" s="352"/>
      <c r="H13" s="29"/>
      <c r="I13" s="18"/>
      <c r="J13" s="353">
        <f>+AVERAGE(F13,N13)</f>
        <v>0.61397553641681413</v>
      </c>
      <c r="K13" s="50">
        <v>3</v>
      </c>
      <c r="L13" s="49">
        <v>10201</v>
      </c>
      <c r="M13" s="55">
        <f t="shared" ref="M13:M31" si="1">1/(L13/$C$6)</f>
        <v>0.33449073620233311</v>
      </c>
      <c r="N13" s="353">
        <f t="shared" ref="N13:N31" si="2">+$C$7*$C$8/M13</f>
        <v>0.60378353760396697</v>
      </c>
      <c r="O13" s="4"/>
      <c r="P13" s="4"/>
      <c r="Q13" s="4"/>
      <c r="R13" s="4"/>
      <c r="S13" s="4"/>
      <c r="T13" s="4"/>
      <c r="U13" s="4"/>
      <c r="V13" s="4"/>
      <c r="W13" s="4"/>
      <c r="X13" s="4"/>
      <c r="Y13" s="4"/>
      <c r="AA13" s="28"/>
      <c r="AB13" s="9"/>
      <c r="AC13" s="9"/>
      <c r="AD13" s="9"/>
      <c r="AE13" s="9"/>
    </row>
    <row r="14" spans="2:31" x14ac:dyDescent="0.3">
      <c r="B14" s="47" t="s">
        <v>88</v>
      </c>
      <c r="C14" s="50">
        <v>3</v>
      </c>
      <c r="D14" s="49">
        <v>10201</v>
      </c>
      <c r="E14" s="55">
        <f t="shared" ref="E14:E22" si="3">1/(D14/$C$6)</f>
        <v>0.33449073620233311</v>
      </c>
      <c r="F14" s="350">
        <f t="shared" ref="F14:F22" si="4">+$C$7*$C$8/E13</f>
        <v>0.60378353760396697</v>
      </c>
      <c r="G14" s="354"/>
      <c r="H14" s="30"/>
      <c r="I14" s="4"/>
      <c r="J14" s="353">
        <f t="shared" ref="J14:J22" si="5">+AVERAGE(F14,N14)</f>
        <v>0.60378353760396697</v>
      </c>
      <c r="K14" s="50">
        <v>3</v>
      </c>
      <c r="L14" s="49">
        <v>10201</v>
      </c>
      <c r="M14" s="55">
        <f t="shared" si="1"/>
        <v>0.33449073620233311</v>
      </c>
      <c r="N14" s="353">
        <f t="shared" si="2"/>
        <v>0.60378353760396697</v>
      </c>
      <c r="O14" s="4"/>
      <c r="P14" s="4"/>
      <c r="Q14" s="4"/>
      <c r="R14" s="4"/>
      <c r="S14" s="4"/>
      <c r="T14" s="4"/>
      <c r="U14" s="4"/>
      <c r="V14" s="4"/>
      <c r="W14" s="4"/>
      <c r="X14" s="4"/>
      <c r="Y14" s="4"/>
      <c r="AA14" s="28"/>
      <c r="AB14" s="9"/>
      <c r="AC14" s="9"/>
      <c r="AD14" s="9"/>
      <c r="AE14" s="9"/>
    </row>
    <row r="15" spans="2:31" x14ac:dyDescent="0.3">
      <c r="B15" s="47" t="s">
        <v>89</v>
      </c>
      <c r="C15" s="50">
        <v>3</v>
      </c>
      <c r="D15" s="49">
        <v>10201</v>
      </c>
      <c r="E15" s="55">
        <f t="shared" si="3"/>
        <v>0.33449073620233311</v>
      </c>
      <c r="F15" s="350">
        <f t="shared" si="4"/>
        <v>0.60378353760396697</v>
      </c>
      <c r="G15" s="354"/>
      <c r="H15" s="30"/>
      <c r="I15" s="4"/>
      <c r="J15" s="353">
        <f t="shared" si="5"/>
        <v>0.60378353760396697</v>
      </c>
      <c r="K15" s="50">
        <v>3</v>
      </c>
      <c r="L15" s="49">
        <v>10201</v>
      </c>
      <c r="M15" s="55">
        <f t="shared" si="1"/>
        <v>0.33449073620233311</v>
      </c>
      <c r="N15" s="353">
        <f t="shared" si="2"/>
        <v>0.60378353760396697</v>
      </c>
      <c r="O15" s="4"/>
      <c r="P15" s="4"/>
      <c r="Q15" s="4"/>
      <c r="R15" s="4"/>
      <c r="S15" s="4"/>
      <c r="T15" s="4"/>
      <c r="U15" s="4"/>
      <c r="V15" s="4"/>
      <c r="W15" s="4"/>
      <c r="X15" s="4"/>
      <c r="Y15" s="4"/>
      <c r="AA15" s="28"/>
      <c r="AB15" s="9"/>
      <c r="AC15" s="9"/>
      <c r="AD15" s="9"/>
      <c r="AE15" s="9"/>
    </row>
    <row r="16" spans="2:31" x14ac:dyDescent="0.3">
      <c r="B16" s="47" t="s">
        <v>90</v>
      </c>
      <c r="C16" s="50">
        <v>3</v>
      </c>
      <c r="D16" s="49">
        <v>10201</v>
      </c>
      <c r="E16" s="55">
        <f t="shared" si="3"/>
        <v>0.33449073620233311</v>
      </c>
      <c r="F16" s="350">
        <f t="shared" si="4"/>
        <v>0.60378353760396697</v>
      </c>
      <c r="G16" s="354"/>
      <c r="H16" s="30"/>
      <c r="I16" s="4"/>
      <c r="J16" s="353">
        <f t="shared" si="5"/>
        <v>0.60378353760396697</v>
      </c>
      <c r="K16" s="50">
        <v>3</v>
      </c>
      <c r="L16" s="49">
        <v>10201</v>
      </c>
      <c r="M16" s="55">
        <f t="shared" si="1"/>
        <v>0.33449073620233311</v>
      </c>
      <c r="N16" s="353">
        <f t="shared" si="2"/>
        <v>0.60378353760396697</v>
      </c>
      <c r="O16" s="4"/>
      <c r="P16" s="4"/>
      <c r="Q16" s="4"/>
      <c r="R16" s="4"/>
      <c r="S16" s="4"/>
      <c r="T16" s="4"/>
      <c r="U16" s="4"/>
      <c r="V16" s="4"/>
      <c r="W16" s="4"/>
      <c r="X16" s="4"/>
      <c r="Y16" s="4"/>
      <c r="AA16" s="28"/>
      <c r="AB16" s="9"/>
      <c r="AC16" s="9"/>
      <c r="AD16" s="9"/>
      <c r="AE16" s="9"/>
    </row>
    <row r="17" spans="2:31" x14ac:dyDescent="0.3">
      <c r="B17" s="47" t="s">
        <v>91</v>
      </c>
      <c r="C17" s="50">
        <v>3</v>
      </c>
      <c r="D17" s="49">
        <v>10201</v>
      </c>
      <c r="E17" s="55">
        <f t="shared" si="3"/>
        <v>0.33449073620233311</v>
      </c>
      <c r="F17" s="350">
        <f t="shared" si="4"/>
        <v>0.60378353760396697</v>
      </c>
      <c r="G17" s="354"/>
      <c r="H17" s="30"/>
      <c r="I17" s="4"/>
      <c r="J17" s="353">
        <f t="shared" si="5"/>
        <v>0.60378353760396697</v>
      </c>
      <c r="K17" s="50">
        <v>3</v>
      </c>
      <c r="L17" s="49">
        <v>10201</v>
      </c>
      <c r="M17" s="55">
        <f t="shared" si="1"/>
        <v>0.33449073620233311</v>
      </c>
      <c r="N17" s="353">
        <f t="shared" si="2"/>
        <v>0.60378353760396697</v>
      </c>
      <c r="O17" s="4"/>
      <c r="P17" s="4"/>
      <c r="Q17" s="4"/>
      <c r="R17" s="4"/>
      <c r="S17" s="4"/>
      <c r="T17" s="4"/>
      <c r="U17" s="4"/>
      <c r="V17" s="4"/>
      <c r="W17" s="4"/>
      <c r="X17" s="4"/>
      <c r="Y17" s="4"/>
      <c r="AA17" s="28"/>
      <c r="AB17" s="9"/>
      <c r="AC17" s="9"/>
      <c r="AD17" s="9"/>
      <c r="AE17" s="9"/>
    </row>
    <row r="18" spans="2:31" x14ac:dyDescent="0.3">
      <c r="B18" s="47" t="s">
        <v>92</v>
      </c>
      <c r="C18" s="50">
        <v>18</v>
      </c>
      <c r="D18" s="49">
        <v>11497</v>
      </c>
      <c r="E18" s="55">
        <f t="shared" si="3"/>
        <v>0.29678524832565017</v>
      </c>
      <c r="F18" s="350">
        <f t="shared" si="4"/>
        <v>0.60378353760396697</v>
      </c>
      <c r="G18" s="354"/>
      <c r="H18" s="30"/>
      <c r="I18" s="4"/>
      <c r="J18" s="353">
        <f t="shared" si="5"/>
        <v>0.64213779036030172</v>
      </c>
      <c r="K18" s="50">
        <v>18</v>
      </c>
      <c r="L18" s="49">
        <v>11497</v>
      </c>
      <c r="M18" s="55">
        <f t="shared" si="1"/>
        <v>0.29678524832565017</v>
      </c>
      <c r="N18" s="353">
        <f t="shared" si="2"/>
        <v>0.68049204311663647</v>
      </c>
      <c r="O18" s="4"/>
      <c r="P18" s="4"/>
      <c r="Q18" s="4"/>
      <c r="R18" s="4"/>
      <c r="S18" s="4"/>
      <c r="T18" s="4"/>
      <c r="U18" s="4"/>
      <c r="V18" s="4"/>
      <c r="W18" s="4"/>
      <c r="X18" s="4"/>
      <c r="Y18" s="4"/>
      <c r="AA18" s="28"/>
      <c r="AB18" s="9"/>
      <c r="AC18" s="9"/>
      <c r="AD18" s="9"/>
      <c r="AE18" s="9"/>
    </row>
    <row r="19" spans="2:31" x14ac:dyDescent="0.3">
      <c r="B19" s="47" t="s">
        <v>93</v>
      </c>
      <c r="C19" s="50">
        <v>2</v>
      </c>
      <c r="D19" s="49">
        <v>9050</v>
      </c>
      <c r="E19" s="55">
        <f t="shared" si="3"/>
        <v>0.37703204419889497</v>
      </c>
      <c r="F19" s="350">
        <f t="shared" si="4"/>
        <v>0.68049204311663647</v>
      </c>
      <c r="G19" s="354"/>
      <c r="H19" s="30"/>
      <c r="I19" s="4"/>
      <c r="J19" s="353">
        <f t="shared" si="5"/>
        <v>0.6080747155743903</v>
      </c>
      <c r="K19" s="50">
        <v>2</v>
      </c>
      <c r="L19" s="49">
        <v>9050</v>
      </c>
      <c r="M19" s="55">
        <f t="shared" si="1"/>
        <v>0.37703204419889497</v>
      </c>
      <c r="N19" s="353">
        <f t="shared" si="2"/>
        <v>0.53565738803214413</v>
      </c>
      <c r="O19" s="4"/>
      <c r="P19" s="4"/>
      <c r="Q19" s="4"/>
      <c r="R19" s="4"/>
      <c r="S19" s="4"/>
      <c r="T19" s="4"/>
      <c r="U19" s="4"/>
      <c r="V19" s="4"/>
      <c r="W19" s="4"/>
      <c r="X19" s="4"/>
      <c r="Y19" s="4"/>
      <c r="AA19" s="28"/>
      <c r="AB19" s="9"/>
      <c r="AC19" s="9"/>
      <c r="AD19" s="9"/>
      <c r="AE19" s="9"/>
    </row>
    <row r="20" spans="2:31" x14ac:dyDescent="0.3">
      <c r="B20" s="47" t="s">
        <v>94</v>
      </c>
      <c r="C20" s="50">
        <v>2</v>
      </c>
      <c r="D20" s="49">
        <v>9050</v>
      </c>
      <c r="E20" s="55">
        <f t="shared" si="3"/>
        <v>0.37703204419889497</v>
      </c>
      <c r="F20" s="350">
        <f t="shared" si="4"/>
        <v>0.53565738803214413</v>
      </c>
      <c r="G20" s="354"/>
      <c r="H20" s="30"/>
      <c r="I20" s="4"/>
      <c r="J20" s="353">
        <f t="shared" si="5"/>
        <v>0.53565738803214413</v>
      </c>
      <c r="K20" s="50">
        <v>2</v>
      </c>
      <c r="L20" s="49">
        <v>9050</v>
      </c>
      <c r="M20" s="55">
        <f t="shared" si="1"/>
        <v>0.37703204419889497</v>
      </c>
      <c r="N20" s="353">
        <f t="shared" si="2"/>
        <v>0.53565738803214413</v>
      </c>
      <c r="O20" s="4"/>
      <c r="P20" s="4"/>
      <c r="Q20" s="4"/>
      <c r="R20" s="4"/>
      <c r="S20" s="4"/>
      <c r="T20" s="4"/>
      <c r="U20" s="4"/>
      <c r="V20" s="4"/>
      <c r="W20" s="4"/>
      <c r="X20" s="4"/>
      <c r="Y20" s="4"/>
      <c r="AA20" s="28"/>
      <c r="AB20" s="9"/>
      <c r="AC20" s="9"/>
      <c r="AD20" s="9"/>
      <c r="AE20" s="9"/>
    </row>
    <row r="21" spans="2:31" x14ac:dyDescent="0.3">
      <c r="B21" s="47" t="s">
        <v>95</v>
      </c>
      <c r="C21" s="50">
        <v>2</v>
      </c>
      <c r="D21" s="49">
        <v>9050</v>
      </c>
      <c r="E21" s="55">
        <f t="shared" si="3"/>
        <v>0.37703204419889497</v>
      </c>
      <c r="F21" s="350">
        <f t="shared" si="4"/>
        <v>0.53565738803214413</v>
      </c>
      <c r="G21" s="354"/>
      <c r="H21" s="30"/>
      <c r="I21" s="4"/>
      <c r="J21" s="353">
        <f t="shared" si="5"/>
        <v>0.53565738803214413</v>
      </c>
      <c r="K21" s="50">
        <v>2</v>
      </c>
      <c r="L21" s="49">
        <v>9050</v>
      </c>
      <c r="M21" s="55">
        <f t="shared" si="1"/>
        <v>0.37703204419889497</v>
      </c>
      <c r="N21" s="353">
        <f t="shared" si="2"/>
        <v>0.53565738803214413</v>
      </c>
      <c r="O21" s="4"/>
      <c r="P21" s="4"/>
      <c r="Q21" s="4"/>
      <c r="R21" s="4"/>
      <c r="S21" s="4"/>
      <c r="T21" s="4"/>
      <c r="U21" s="4"/>
      <c r="V21" s="4"/>
      <c r="W21" s="4"/>
      <c r="X21" s="4"/>
      <c r="Y21" s="4"/>
      <c r="AA21" s="28"/>
      <c r="AB21" s="9"/>
      <c r="AC21" s="9"/>
      <c r="AD21" s="9"/>
      <c r="AE21" s="9"/>
    </row>
    <row r="22" spans="2:31" x14ac:dyDescent="0.3">
      <c r="B22" s="47" t="s">
        <v>96</v>
      </c>
      <c r="C22" s="50">
        <v>2</v>
      </c>
      <c r="D22" s="49">
        <v>9050</v>
      </c>
      <c r="E22" s="56">
        <f t="shared" si="3"/>
        <v>0.37703204419889497</v>
      </c>
      <c r="F22" s="351">
        <f t="shared" si="4"/>
        <v>0.53565738803214413</v>
      </c>
      <c r="G22" s="354"/>
      <c r="H22" s="30"/>
      <c r="I22" s="4"/>
      <c r="J22" s="353">
        <f t="shared" si="5"/>
        <v>0.53565738803214413</v>
      </c>
      <c r="K22" s="50">
        <v>2</v>
      </c>
      <c r="L22" s="49">
        <v>9050</v>
      </c>
      <c r="M22" s="55">
        <f t="shared" si="1"/>
        <v>0.37703204419889497</v>
      </c>
      <c r="N22" s="59">
        <f t="shared" si="2"/>
        <v>0.53565738803214413</v>
      </c>
      <c r="O22" s="4"/>
      <c r="P22" s="4"/>
      <c r="Q22" s="4"/>
      <c r="R22" s="4"/>
      <c r="S22" s="4"/>
      <c r="T22" s="4"/>
      <c r="U22" s="4"/>
      <c r="V22" s="4"/>
      <c r="W22" s="4"/>
      <c r="X22" s="4"/>
      <c r="Y22" s="4"/>
      <c r="AA22" s="28"/>
      <c r="AB22" s="9"/>
      <c r="AC22" s="9"/>
      <c r="AD22" s="9"/>
      <c r="AE22" s="9"/>
    </row>
    <row r="23" spans="2:31" x14ac:dyDescent="0.3">
      <c r="B23" s="47" t="s">
        <v>97</v>
      </c>
      <c r="C23" s="105"/>
      <c r="D23" s="29"/>
      <c r="E23" s="4"/>
      <c r="F23" s="4"/>
      <c r="G23" s="354"/>
      <c r="H23" s="30"/>
      <c r="I23" s="4"/>
      <c r="J23" s="355"/>
      <c r="K23" s="50">
        <v>2</v>
      </c>
      <c r="L23" s="49">
        <v>9050</v>
      </c>
      <c r="M23" s="55">
        <f t="shared" si="1"/>
        <v>0.37703204419889497</v>
      </c>
      <c r="N23" s="353">
        <f t="shared" si="2"/>
        <v>0.53565738803214413</v>
      </c>
      <c r="O23" s="4"/>
      <c r="P23" s="4"/>
      <c r="Q23" s="4"/>
      <c r="R23" s="4"/>
      <c r="S23" s="4"/>
      <c r="T23" s="4"/>
      <c r="U23" s="4"/>
      <c r="V23" s="4"/>
      <c r="W23" s="4"/>
      <c r="X23" s="4"/>
      <c r="Y23" s="4"/>
      <c r="AA23" s="28"/>
      <c r="AB23" s="9"/>
      <c r="AC23" s="9"/>
      <c r="AD23" s="9"/>
      <c r="AE23" s="9"/>
    </row>
    <row r="24" spans="2:31" x14ac:dyDescent="0.3">
      <c r="B24" s="47" t="s">
        <v>98</v>
      </c>
      <c r="C24" s="213"/>
      <c r="D24" s="30"/>
      <c r="E24" s="4"/>
      <c r="F24" s="4"/>
      <c r="G24" s="354"/>
      <c r="H24" s="30"/>
      <c r="I24" s="4"/>
      <c r="J24" s="5"/>
      <c r="K24" s="50">
        <v>2</v>
      </c>
      <c r="L24" s="49">
        <v>9050</v>
      </c>
      <c r="M24" s="55">
        <f t="shared" si="1"/>
        <v>0.37703204419889497</v>
      </c>
      <c r="N24" s="353">
        <f t="shared" si="2"/>
        <v>0.53565738803214413</v>
      </c>
      <c r="O24" s="4"/>
      <c r="P24" s="4"/>
      <c r="Q24" s="4"/>
      <c r="R24" s="4"/>
      <c r="S24" s="4"/>
      <c r="T24" s="4"/>
      <c r="U24" s="4"/>
      <c r="V24" s="4"/>
      <c r="W24" s="4"/>
      <c r="X24" s="4"/>
      <c r="Y24" s="4"/>
      <c r="AA24" s="28"/>
      <c r="AB24" s="9"/>
      <c r="AC24" s="9"/>
      <c r="AD24" s="9"/>
      <c r="AE24" s="9"/>
    </row>
    <row r="25" spans="2:31" x14ac:dyDescent="0.3">
      <c r="B25" s="47" t="s">
        <v>99</v>
      </c>
      <c r="C25" s="42"/>
      <c r="D25" s="43"/>
      <c r="E25" s="6"/>
      <c r="F25" s="6"/>
      <c r="G25" s="354"/>
      <c r="H25" s="43"/>
      <c r="I25" s="6"/>
      <c r="J25" s="353">
        <f>+N25</f>
        <v>0.53565738803214413</v>
      </c>
      <c r="K25" s="50">
        <v>2</v>
      </c>
      <c r="L25" s="49">
        <v>9050</v>
      </c>
      <c r="M25" s="55">
        <f t="shared" si="1"/>
        <v>0.37703204419889497</v>
      </c>
      <c r="N25" s="353">
        <f t="shared" si="2"/>
        <v>0.53565738803214413</v>
      </c>
      <c r="O25" s="4"/>
      <c r="P25" s="4"/>
      <c r="Q25" s="4"/>
      <c r="R25" s="4"/>
      <c r="S25" s="4"/>
      <c r="T25" s="4"/>
      <c r="U25" s="4"/>
      <c r="V25" s="4"/>
      <c r="W25" s="4"/>
      <c r="X25" s="4"/>
      <c r="Y25" s="4"/>
      <c r="AA25" s="28"/>
      <c r="AB25" s="9"/>
      <c r="AC25" s="9"/>
      <c r="AD25" s="9"/>
      <c r="AE25" s="9"/>
    </row>
    <row r="26" spans="2:31" x14ac:dyDescent="0.3">
      <c r="B26" s="357" t="s">
        <v>20</v>
      </c>
      <c r="C26" s="358">
        <f>+SUM(C27:C28)</f>
        <v>90</v>
      </c>
      <c r="D26" s="359">
        <f>SUMPRODUCT(C27:C28,D27:D28)/C26</f>
        <v>8618.5</v>
      </c>
      <c r="E26" s="360">
        <f>1/(D26/$C$6)</f>
        <v>0.39590880083541219</v>
      </c>
      <c r="F26" s="361">
        <f>+$C$7*$C$8/E26</f>
        <v>0.51011748052541805</v>
      </c>
      <c r="G26" s="362">
        <f>+AVERAGE(C26,K26)</f>
        <v>90</v>
      </c>
      <c r="H26" s="359">
        <f>+AVERAGE(D26,L26)</f>
        <v>8657.25</v>
      </c>
      <c r="I26" s="360">
        <f>1/(H26/$C$6)</f>
        <v>0.3941367062288833</v>
      </c>
      <c r="J26" s="363">
        <f>+$C$7*$C$8/I26</f>
        <v>0.5124110411647822</v>
      </c>
      <c r="K26" s="358">
        <f>+SUM(K27:K28)</f>
        <v>90</v>
      </c>
      <c r="L26" s="359">
        <f>SUMPRODUCT(K27:K28,L27:L28)/K26</f>
        <v>8696</v>
      </c>
      <c r="M26" s="360">
        <f>1/(L26/$C$6)</f>
        <v>0.39238040478380859</v>
      </c>
      <c r="N26" s="363">
        <f>+$C$7*$C$8/M26</f>
        <v>0.51470460180414646</v>
      </c>
      <c r="O26" s="4"/>
      <c r="P26" s="4"/>
      <c r="Q26" s="4"/>
      <c r="R26" s="4"/>
      <c r="S26" s="4"/>
      <c r="T26" s="4"/>
      <c r="U26" s="4"/>
      <c r="V26" s="4"/>
      <c r="W26" s="4"/>
      <c r="X26" s="4"/>
      <c r="Y26" s="4"/>
      <c r="AA26" s="28"/>
      <c r="AB26" s="9"/>
      <c r="AC26" s="9"/>
      <c r="AD26" s="9"/>
      <c r="AE26" s="9"/>
    </row>
    <row r="27" spans="2:31" x14ac:dyDescent="0.3">
      <c r="B27" s="47" t="s">
        <v>113</v>
      </c>
      <c r="C27" s="50">
        <v>45</v>
      </c>
      <c r="D27" s="49">
        <v>8425</v>
      </c>
      <c r="E27" s="55">
        <f t="shared" ref="E27:E31" si="6">1/(D26/$C$6)</f>
        <v>0.39590880083541219</v>
      </c>
      <c r="F27" s="350">
        <f t="shared" ref="F27:F30" si="7">+$C$7*$C$8/E26</f>
        <v>0.51011748052541805</v>
      </c>
      <c r="G27" s="352"/>
      <c r="H27" s="29"/>
      <c r="I27" s="18"/>
      <c r="J27" s="353">
        <f t="shared" ref="J27:J31" si="8">+AVERAGE(F27,N27)</f>
        <v>0.50527880743463038</v>
      </c>
      <c r="K27" s="50">
        <v>45</v>
      </c>
      <c r="L27" s="49">
        <v>8455</v>
      </c>
      <c r="M27" s="55">
        <f t="shared" si="1"/>
        <v>0.40356475458308694</v>
      </c>
      <c r="N27" s="353">
        <f t="shared" si="2"/>
        <v>0.50044013434384282</v>
      </c>
      <c r="O27" s="4"/>
      <c r="P27" s="4"/>
      <c r="Q27" s="4"/>
      <c r="R27" s="4"/>
      <c r="S27" s="4"/>
      <c r="T27" s="4"/>
      <c r="U27" s="4"/>
      <c r="V27" s="4"/>
      <c r="W27" s="4"/>
      <c r="X27" s="4"/>
      <c r="Y27" s="4"/>
      <c r="AA27" s="28"/>
      <c r="AB27" s="9"/>
      <c r="AC27" s="9"/>
      <c r="AD27" s="9"/>
      <c r="AE27" s="9"/>
    </row>
    <row r="28" spans="2:31" x14ac:dyDescent="0.3">
      <c r="B28" s="47" t="s">
        <v>114</v>
      </c>
      <c r="C28" s="50">
        <v>45</v>
      </c>
      <c r="D28" s="49">
        <v>8812</v>
      </c>
      <c r="E28" s="56">
        <f t="shared" si="6"/>
        <v>0.40500178041543022</v>
      </c>
      <c r="F28" s="351">
        <f>+$C$7*$C$8/E28</f>
        <v>0.49866447449401263</v>
      </c>
      <c r="G28" s="354"/>
      <c r="H28" s="30"/>
      <c r="I28" s="4"/>
      <c r="J28" s="353">
        <f t="shared" si="8"/>
        <v>0.51381677187923125</v>
      </c>
      <c r="K28" s="50">
        <v>45</v>
      </c>
      <c r="L28" s="49">
        <v>8937</v>
      </c>
      <c r="M28" s="55">
        <f t="shared" si="1"/>
        <v>0.38179926149714666</v>
      </c>
      <c r="N28" s="353">
        <f t="shared" si="2"/>
        <v>0.52896906926444998</v>
      </c>
      <c r="O28" s="4"/>
      <c r="P28" s="4"/>
      <c r="Q28" s="4"/>
      <c r="R28" s="4"/>
      <c r="S28" s="4"/>
      <c r="T28" s="4"/>
      <c r="U28" s="4"/>
      <c r="V28" s="4"/>
      <c r="W28" s="4"/>
      <c r="X28" s="4"/>
      <c r="Y28" s="4"/>
      <c r="AA28" s="28"/>
      <c r="AB28" s="9"/>
      <c r="AC28" s="9"/>
      <c r="AD28" s="9"/>
      <c r="AE28" s="9"/>
    </row>
    <row r="29" spans="2:31" x14ac:dyDescent="0.3">
      <c r="B29" s="357" t="s">
        <v>18</v>
      </c>
      <c r="C29" s="358">
        <f>+SUM(C30:C31)</f>
        <v>112</v>
      </c>
      <c r="D29" s="359">
        <f>SUMPRODUCT(C30:C31,D30:D31)/C29</f>
        <v>9830</v>
      </c>
      <c r="E29" s="360">
        <f>1/(D29/$C$6)</f>
        <v>0.34711495422177008</v>
      </c>
      <c r="F29" s="361">
        <f>+$C$7*$C$8/E29</f>
        <v>0.58182454412773221</v>
      </c>
      <c r="G29" s="362">
        <f>+AVERAGE(C29,K29)</f>
        <v>112</v>
      </c>
      <c r="H29" s="359">
        <f>+AVERAGE(D29,L29)</f>
        <v>9830</v>
      </c>
      <c r="I29" s="360">
        <f>1/(H29/$C$6)</f>
        <v>0.34711495422177008</v>
      </c>
      <c r="J29" s="363">
        <f>+$C$7*$C$8/I29</f>
        <v>0.58182454412773221</v>
      </c>
      <c r="K29" s="358">
        <f>+SUM(K30:K31)</f>
        <v>112</v>
      </c>
      <c r="L29" s="359">
        <f>SUMPRODUCT(K30:K31,L30:L31)/K29</f>
        <v>9830</v>
      </c>
      <c r="M29" s="360">
        <f>1/(L29/$C$6)</f>
        <v>0.34711495422177008</v>
      </c>
      <c r="N29" s="363">
        <f>+$C$7*$C$8/M29</f>
        <v>0.58182454412773221</v>
      </c>
      <c r="O29" s="4"/>
      <c r="P29" s="4"/>
      <c r="Q29" s="4"/>
      <c r="R29" s="4"/>
      <c r="S29" s="4"/>
      <c r="T29" s="4"/>
      <c r="U29" s="4"/>
      <c r="V29" s="4"/>
      <c r="W29" s="4"/>
      <c r="X29" s="4"/>
      <c r="Y29" s="4"/>
      <c r="AA29" s="28"/>
      <c r="AB29" s="9"/>
      <c r="AC29" s="9"/>
      <c r="AD29" s="9"/>
      <c r="AE29" s="9"/>
    </row>
    <row r="30" spans="2:31" x14ac:dyDescent="0.3">
      <c r="B30" s="47" t="s">
        <v>105</v>
      </c>
      <c r="C30" s="50">
        <v>56</v>
      </c>
      <c r="D30" s="49">
        <v>9830</v>
      </c>
      <c r="E30" s="55">
        <f t="shared" si="6"/>
        <v>0.34711495422177008</v>
      </c>
      <c r="F30" s="350">
        <f t="shared" si="7"/>
        <v>0.58182454412773221</v>
      </c>
      <c r="G30" s="352"/>
      <c r="H30" s="29"/>
      <c r="I30" s="18"/>
      <c r="J30" s="353">
        <f t="shared" si="8"/>
        <v>0.58182454412773221</v>
      </c>
      <c r="K30" s="50">
        <v>56</v>
      </c>
      <c r="L30" s="49">
        <v>9830</v>
      </c>
      <c r="M30" s="55">
        <f t="shared" si="1"/>
        <v>0.34711495422177008</v>
      </c>
      <c r="N30" s="353">
        <f t="shared" si="2"/>
        <v>0.58182454412773221</v>
      </c>
      <c r="O30" s="4"/>
      <c r="P30" s="4"/>
      <c r="Q30" s="4"/>
      <c r="R30" s="4"/>
      <c r="S30" s="4"/>
      <c r="T30" s="4"/>
      <c r="U30" s="4"/>
      <c r="V30" s="4"/>
      <c r="W30" s="4"/>
      <c r="X30" s="4"/>
      <c r="Y30" s="4"/>
      <c r="AA30" s="28"/>
      <c r="AB30" s="9"/>
      <c r="AC30" s="9"/>
      <c r="AD30" s="9"/>
      <c r="AE30" s="9"/>
    </row>
    <row r="31" spans="2:31" x14ac:dyDescent="0.3">
      <c r="B31" s="47" t="s">
        <v>106</v>
      </c>
      <c r="C31" s="50">
        <v>56</v>
      </c>
      <c r="D31" s="49">
        <v>9830</v>
      </c>
      <c r="E31" s="56">
        <f t="shared" si="6"/>
        <v>0.34711495422177008</v>
      </c>
      <c r="F31" s="351">
        <f>+$C$7*$C$8/E31</f>
        <v>0.58182454412773221</v>
      </c>
      <c r="G31" s="354"/>
      <c r="H31" s="30"/>
      <c r="I31" s="4"/>
      <c r="J31" s="353">
        <f t="shared" si="8"/>
        <v>0.58182454412773221</v>
      </c>
      <c r="K31" s="50">
        <v>56</v>
      </c>
      <c r="L31" s="49">
        <v>9830</v>
      </c>
      <c r="M31" s="55">
        <f t="shared" si="1"/>
        <v>0.34711495422177008</v>
      </c>
      <c r="N31" s="353">
        <f t="shared" si="2"/>
        <v>0.58182454412773221</v>
      </c>
      <c r="O31" s="4"/>
      <c r="P31" s="4"/>
      <c r="Q31" s="4"/>
      <c r="R31" s="4"/>
      <c r="S31" s="4"/>
      <c r="T31" s="4"/>
      <c r="U31" s="4"/>
      <c r="V31" s="4"/>
      <c r="W31" s="4"/>
      <c r="X31" s="4"/>
      <c r="Y31" s="4"/>
      <c r="AA31" s="28"/>
      <c r="AB31" s="9"/>
      <c r="AC31" s="9"/>
      <c r="AD31" s="9"/>
      <c r="AE31" s="9"/>
    </row>
    <row r="32" spans="2:31" x14ac:dyDescent="0.3">
      <c r="B32" s="357" t="s">
        <v>16</v>
      </c>
      <c r="C32" s="358">
        <f>+SUM(C33:C41)</f>
        <v>316</v>
      </c>
      <c r="D32" s="359">
        <f>SUMPRODUCT(C33:C41,D33:D41)/C32</f>
        <v>10943.60759493671</v>
      </c>
      <c r="E32" s="360">
        <f>1/(D32/$C$6)</f>
        <v>0.31179297780913656</v>
      </c>
      <c r="F32" s="361">
        <f>+$C$7*$C$8/E32</f>
        <v>0.64773748728757263</v>
      </c>
      <c r="G32" s="362">
        <f>+AVERAGE(C32,K32)</f>
        <v>316</v>
      </c>
      <c r="H32" s="359">
        <f>+AVERAGE(D32,L32)</f>
        <v>10943.60759493671</v>
      </c>
      <c r="I32" s="360">
        <f>1/(H32/$C$6)</f>
        <v>0.31179297780913656</v>
      </c>
      <c r="J32" s="363">
        <f>+$C$7*$C$8/I32</f>
        <v>0.64773748728757263</v>
      </c>
      <c r="K32" s="358">
        <f>+SUM(K33:K41)</f>
        <v>316</v>
      </c>
      <c r="L32" s="359">
        <f>SUMPRODUCT(K33:K41,L33:L41)/K32</f>
        <v>10943.60759493671</v>
      </c>
      <c r="M32" s="360">
        <f>1/(L32/$C$6)</f>
        <v>0.31179297780913656</v>
      </c>
      <c r="N32" s="363">
        <f>+$C$7*$C$8/M32</f>
        <v>0.64773748728757263</v>
      </c>
      <c r="O32" s="4"/>
      <c r="P32" s="4"/>
      <c r="Q32" s="4"/>
      <c r="R32" s="4"/>
      <c r="S32" s="4"/>
      <c r="T32" s="4"/>
      <c r="U32" s="4"/>
      <c r="V32" s="4"/>
      <c r="W32" s="4"/>
      <c r="X32" s="4"/>
      <c r="Y32" s="4"/>
      <c r="AA32" s="28"/>
      <c r="AB32" s="9"/>
      <c r="AC32" s="9"/>
      <c r="AD32" s="9"/>
      <c r="AE32" s="9"/>
    </row>
    <row r="33" spans="2:31" x14ac:dyDescent="0.3">
      <c r="B33" s="47" t="s">
        <v>78</v>
      </c>
      <c r="C33" s="50">
        <v>22</v>
      </c>
      <c r="D33" s="49">
        <v>11971</v>
      </c>
      <c r="E33" s="55">
        <f t="shared" ref="E33:E46" si="9">1/(D32/$C$6)</f>
        <v>0.31179297780913656</v>
      </c>
      <c r="F33" s="350">
        <f t="shared" ref="F33:F46" si="10">+$C$7*$C$8/E32</f>
        <v>0.64773748728757263</v>
      </c>
      <c r="G33" s="352"/>
      <c r="H33" s="29"/>
      <c r="I33" s="18"/>
      <c r="J33" s="353">
        <f t="shared" ref="J33:J46" si="11">+AVERAGE(F33,N33)</f>
        <v>0.67814247801576399</v>
      </c>
      <c r="K33" s="50">
        <v>22</v>
      </c>
      <c r="L33" s="49">
        <v>11971</v>
      </c>
      <c r="M33" s="55">
        <f t="shared" ref="M33:M54" si="12">1/(L33/$C$6)</f>
        <v>0.2850338317600869</v>
      </c>
      <c r="N33" s="353">
        <f t="shared" ref="N33:N54" si="13">+$C$7*$C$8/M33</f>
        <v>0.70854746874395536</v>
      </c>
      <c r="O33" s="4"/>
      <c r="P33" s="4"/>
      <c r="Q33" s="4"/>
      <c r="R33" s="4"/>
      <c r="S33" s="4"/>
      <c r="T33" s="4"/>
      <c r="U33" s="4"/>
      <c r="V33" s="4"/>
      <c r="W33" s="4"/>
      <c r="X33" s="4"/>
      <c r="Y33" s="4"/>
      <c r="AA33" s="28"/>
      <c r="AB33" s="9"/>
      <c r="AC33" s="9"/>
      <c r="AD33" s="9"/>
      <c r="AE33" s="9"/>
    </row>
    <row r="34" spans="2:31" x14ac:dyDescent="0.3">
      <c r="B34" s="47" t="s">
        <v>79</v>
      </c>
      <c r="C34" s="50">
        <v>20</v>
      </c>
      <c r="D34" s="49">
        <v>12595</v>
      </c>
      <c r="E34" s="56">
        <f t="shared" si="9"/>
        <v>0.2850338317600869</v>
      </c>
      <c r="F34" s="351">
        <f>+$C$7*$C$8/E34</f>
        <v>0.70854746874395536</v>
      </c>
      <c r="G34" s="354"/>
      <c r="H34" s="30"/>
      <c r="I34" s="4"/>
      <c r="J34" s="353">
        <f t="shared" si="11"/>
        <v>0.72701433118219061</v>
      </c>
      <c r="K34" s="50">
        <v>20</v>
      </c>
      <c r="L34" s="49">
        <v>12595</v>
      </c>
      <c r="M34" s="55">
        <f t="shared" si="12"/>
        <v>0.27091226677252878</v>
      </c>
      <c r="N34" s="353">
        <f t="shared" si="13"/>
        <v>0.74548119362042586</v>
      </c>
      <c r="O34" s="4"/>
      <c r="P34" s="4"/>
      <c r="Q34" s="4"/>
      <c r="R34" s="4"/>
      <c r="S34" s="4"/>
      <c r="T34" s="4"/>
      <c r="U34" s="4"/>
      <c r="V34" s="4"/>
      <c r="W34" s="4"/>
      <c r="X34" s="4"/>
      <c r="Y34" s="4"/>
      <c r="AA34" s="28"/>
      <c r="AB34" s="9"/>
      <c r="AC34" s="9"/>
      <c r="AD34" s="9"/>
      <c r="AE34" s="9"/>
    </row>
    <row r="35" spans="2:31" x14ac:dyDescent="0.3">
      <c r="B35" s="47" t="s">
        <v>80</v>
      </c>
      <c r="C35" s="50">
        <v>20</v>
      </c>
      <c r="D35" s="49">
        <v>12834</v>
      </c>
      <c r="E35" s="55">
        <f t="shared" si="9"/>
        <v>0.27091226677252878</v>
      </c>
      <c r="F35" s="350">
        <f t="shared" si="10"/>
        <v>0.70854746874395536</v>
      </c>
      <c r="G35" s="354"/>
      <c r="H35" s="30"/>
      <c r="I35" s="4"/>
      <c r="J35" s="353">
        <f t="shared" si="11"/>
        <v>0.73408737625068132</v>
      </c>
      <c r="K35" s="50">
        <v>20</v>
      </c>
      <c r="L35" s="49">
        <v>12834</v>
      </c>
      <c r="M35" s="55">
        <f t="shared" si="12"/>
        <v>0.26586722767648435</v>
      </c>
      <c r="N35" s="353">
        <f t="shared" si="13"/>
        <v>0.75962728375740729</v>
      </c>
      <c r="O35" s="4"/>
      <c r="P35" s="4"/>
      <c r="Q35" s="4"/>
      <c r="R35" s="4"/>
      <c r="S35" s="4"/>
      <c r="T35" s="4"/>
      <c r="U35" s="4"/>
      <c r="V35" s="4"/>
      <c r="W35" s="4"/>
      <c r="X35" s="4"/>
      <c r="Y35" s="4"/>
      <c r="AA35" s="28"/>
      <c r="AB35" s="9"/>
      <c r="AC35" s="9"/>
      <c r="AD35" s="9"/>
      <c r="AE35" s="9"/>
    </row>
    <row r="36" spans="2:31" x14ac:dyDescent="0.3">
      <c r="B36" s="47" t="s">
        <v>81</v>
      </c>
      <c r="C36" s="50">
        <v>21</v>
      </c>
      <c r="D36" s="49">
        <v>12644</v>
      </c>
      <c r="E36" s="56">
        <f t="shared" si="9"/>
        <v>0.26586722767648435</v>
      </c>
      <c r="F36" s="351">
        <f t="shared" ref="F36" si="14">+$C$7*$C$8/E36</f>
        <v>0.75962728375740729</v>
      </c>
      <c r="G36" s="354"/>
      <c r="H36" s="30"/>
      <c r="I36" s="4"/>
      <c r="J36" s="353">
        <f t="shared" si="11"/>
        <v>0.75400436089961143</v>
      </c>
      <c r="K36" s="50">
        <v>21</v>
      </c>
      <c r="L36" s="49">
        <v>12644</v>
      </c>
      <c r="M36" s="55">
        <f t="shared" si="12"/>
        <v>0.26986238532110091</v>
      </c>
      <c r="N36" s="353">
        <f t="shared" si="13"/>
        <v>0.74838143804181545</v>
      </c>
      <c r="O36" s="4"/>
      <c r="P36" s="4"/>
      <c r="Q36" s="4"/>
      <c r="R36" s="4"/>
      <c r="S36" s="4"/>
      <c r="T36" s="4"/>
      <c r="U36" s="4"/>
      <c r="V36" s="4"/>
      <c r="W36" s="4"/>
      <c r="X36" s="4"/>
      <c r="Y36" s="4"/>
      <c r="AA36" s="28"/>
      <c r="AB36" s="9"/>
      <c r="AC36" s="9"/>
      <c r="AD36" s="9"/>
      <c r="AE36" s="9"/>
    </row>
    <row r="37" spans="2:31" x14ac:dyDescent="0.3">
      <c r="B37" s="47" t="s">
        <v>118</v>
      </c>
      <c r="C37" s="50">
        <v>22</v>
      </c>
      <c r="D37" s="49">
        <v>11850</v>
      </c>
      <c r="E37" s="55">
        <f t="shared" si="9"/>
        <v>0.26986238532110091</v>
      </c>
      <c r="F37" s="350">
        <f t="shared" si="10"/>
        <v>0.75962728375740729</v>
      </c>
      <c r="G37" s="354"/>
      <c r="H37" s="30"/>
      <c r="I37" s="4"/>
      <c r="J37" s="353">
        <f t="shared" si="11"/>
        <v>0.73050646222019022</v>
      </c>
      <c r="K37" s="50">
        <v>22</v>
      </c>
      <c r="L37" s="49">
        <v>11850</v>
      </c>
      <c r="M37" s="55">
        <f t="shared" si="12"/>
        <v>0.28794430379746838</v>
      </c>
      <c r="N37" s="353">
        <f t="shared" si="13"/>
        <v>0.70138564068297304</v>
      </c>
      <c r="O37" s="4"/>
      <c r="P37" s="4"/>
      <c r="Q37" s="4"/>
      <c r="R37" s="4"/>
      <c r="S37" s="4"/>
      <c r="T37" s="4"/>
      <c r="U37" s="4"/>
      <c r="V37" s="4"/>
      <c r="W37" s="4"/>
      <c r="X37" s="4"/>
      <c r="Y37" s="4"/>
      <c r="AA37" s="28"/>
      <c r="AB37" s="9"/>
      <c r="AC37" s="9"/>
      <c r="AD37" s="9"/>
      <c r="AE37" s="9"/>
    </row>
    <row r="38" spans="2:31" x14ac:dyDescent="0.3">
      <c r="B38" s="47" t="s">
        <v>119</v>
      </c>
      <c r="C38" s="50">
        <v>22</v>
      </c>
      <c r="D38" s="49">
        <v>11672</v>
      </c>
      <c r="E38" s="56">
        <f t="shared" si="9"/>
        <v>0.28794430379746838</v>
      </c>
      <c r="F38" s="351">
        <f t="shared" ref="F38" si="15">+$C$7*$C$8/E38</f>
        <v>0.70138564068297304</v>
      </c>
      <c r="G38" s="354"/>
      <c r="H38" s="30"/>
      <c r="I38" s="4"/>
      <c r="J38" s="353">
        <f t="shared" si="11"/>
        <v>0.69611784979514324</v>
      </c>
      <c r="K38" s="50">
        <v>22</v>
      </c>
      <c r="L38" s="49">
        <v>11672</v>
      </c>
      <c r="M38" s="55">
        <f t="shared" si="12"/>
        <v>0.29233550376970524</v>
      </c>
      <c r="N38" s="353">
        <f t="shared" si="13"/>
        <v>0.69085005890731344</v>
      </c>
      <c r="O38" s="4"/>
      <c r="P38" s="4"/>
      <c r="Q38" s="4"/>
      <c r="R38" s="4"/>
      <c r="S38" s="4"/>
      <c r="T38" s="4"/>
      <c r="U38" s="4"/>
      <c r="V38" s="4"/>
      <c r="W38" s="4"/>
      <c r="X38" s="4"/>
      <c r="Y38" s="4"/>
      <c r="AA38" s="28"/>
      <c r="AB38" s="9"/>
      <c r="AC38" s="9"/>
      <c r="AD38" s="9"/>
      <c r="AE38" s="9"/>
    </row>
    <row r="39" spans="2:31" x14ac:dyDescent="0.3">
      <c r="B39" s="47" t="s">
        <v>82</v>
      </c>
      <c r="C39" s="50">
        <v>63</v>
      </c>
      <c r="D39" s="49">
        <v>10070</v>
      </c>
      <c r="E39" s="55">
        <f t="shared" si="9"/>
        <v>0.29233550376970524</v>
      </c>
      <c r="F39" s="350">
        <f t="shared" si="10"/>
        <v>0.70138564068297304</v>
      </c>
      <c r="G39" s="354"/>
      <c r="H39" s="30"/>
      <c r="I39" s="4"/>
      <c r="J39" s="353">
        <f t="shared" si="11"/>
        <v>0.64870773180467389</v>
      </c>
      <c r="K39" s="50">
        <v>63</v>
      </c>
      <c r="L39" s="49">
        <v>10070</v>
      </c>
      <c r="M39" s="55">
        <f t="shared" si="12"/>
        <v>0.33884210526315789</v>
      </c>
      <c r="N39" s="353">
        <f t="shared" si="13"/>
        <v>0.59602982292637463</v>
      </c>
      <c r="O39" s="4"/>
      <c r="P39" s="4"/>
      <c r="Q39" s="4"/>
      <c r="R39" s="4"/>
      <c r="S39" s="4"/>
      <c r="T39" s="4"/>
      <c r="U39" s="4"/>
      <c r="V39" s="4"/>
      <c r="W39" s="4"/>
      <c r="X39" s="4"/>
      <c r="Y39" s="4"/>
      <c r="AA39" s="28"/>
      <c r="AB39" s="9"/>
      <c r="AC39" s="9"/>
      <c r="AD39" s="9"/>
      <c r="AE39" s="9"/>
    </row>
    <row r="40" spans="2:31" x14ac:dyDescent="0.3">
      <c r="B40" s="47" t="s">
        <v>83</v>
      </c>
      <c r="C40" s="50">
        <v>63</v>
      </c>
      <c r="D40" s="49">
        <v>10070</v>
      </c>
      <c r="E40" s="56">
        <f t="shared" si="9"/>
        <v>0.33884210526315789</v>
      </c>
      <c r="F40" s="351">
        <f t="shared" ref="F40" si="16">+$C$7*$C$8/E40</f>
        <v>0.59602982292637463</v>
      </c>
      <c r="G40" s="354"/>
      <c r="H40" s="30"/>
      <c r="I40" s="4"/>
      <c r="J40" s="353">
        <f t="shared" si="11"/>
        <v>0.59602982292637463</v>
      </c>
      <c r="K40" s="50">
        <v>63</v>
      </c>
      <c r="L40" s="49">
        <v>10070</v>
      </c>
      <c r="M40" s="55">
        <f t="shared" si="12"/>
        <v>0.33884210526315789</v>
      </c>
      <c r="N40" s="353">
        <f t="shared" si="13"/>
        <v>0.59602982292637463</v>
      </c>
      <c r="O40" s="4"/>
      <c r="P40" s="4"/>
      <c r="Q40" s="4"/>
      <c r="R40" s="4"/>
      <c r="S40" s="4"/>
      <c r="T40" s="4"/>
      <c r="U40" s="4"/>
      <c r="V40" s="4"/>
      <c r="W40" s="4"/>
      <c r="X40" s="4"/>
      <c r="Y40" s="4"/>
      <c r="AA40" s="28"/>
      <c r="AB40" s="9"/>
      <c r="AC40" s="9"/>
      <c r="AD40" s="9"/>
      <c r="AE40" s="9"/>
    </row>
    <row r="41" spans="2:31" x14ac:dyDescent="0.3">
      <c r="B41" s="47" t="s">
        <v>84</v>
      </c>
      <c r="C41" s="50">
        <v>63</v>
      </c>
      <c r="D41" s="49">
        <v>10070</v>
      </c>
      <c r="E41" s="55">
        <f t="shared" si="9"/>
        <v>0.33884210526315789</v>
      </c>
      <c r="F41" s="350">
        <f t="shared" si="10"/>
        <v>0.59602982292637463</v>
      </c>
      <c r="G41" s="354"/>
      <c r="H41" s="30"/>
      <c r="I41" s="6"/>
      <c r="J41" s="353">
        <f t="shared" si="11"/>
        <v>0.59602982292637463</v>
      </c>
      <c r="K41" s="50">
        <v>63</v>
      </c>
      <c r="L41" s="49">
        <v>10070</v>
      </c>
      <c r="M41" s="55">
        <f t="shared" si="12"/>
        <v>0.33884210526315789</v>
      </c>
      <c r="N41" s="353">
        <f t="shared" si="13"/>
        <v>0.59602982292637463</v>
      </c>
      <c r="O41" s="4"/>
      <c r="P41" s="4"/>
      <c r="Q41" s="4"/>
      <c r="R41" s="4"/>
      <c r="S41" s="4"/>
      <c r="T41" s="4"/>
      <c r="U41" s="4"/>
      <c r="V41" s="4"/>
      <c r="W41" s="4"/>
      <c r="X41" s="4"/>
      <c r="Y41" s="4"/>
      <c r="AA41" s="28"/>
      <c r="AB41" s="9"/>
      <c r="AC41" s="9"/>
      <c r="AD41" s="9"/>
      <c r="AE41" s="9"/>
    </row>
    <row r="42" spans="2:31" x14ac:dyDescent="0.3">
      <c r="B42" s="357" t="s">
        <v>21</v>
      </c>
      <c r="C42" s="358">
        <f>+C43</f>
        <v>14</v>
      </c>
      <c r="D42" s="359">
        <f>+D43</f>
        <v>11258</v>
      </c>
      <c r="E42" s="360">
        <f>1/(D42/$C$6)</f>
        <v>0.30308580564931603</v>
      </c>
      <c r="F42" s="361">
        <f>+$C$7*$C$8/E42</f>
        <v>0.66634595297965504</v>
      </c>
      <c r="G42" s="362">
        <f>+AVERAGE(C42,K42)</f>
        <v>14</v>
      </c>
      <c r="H42" s="359">
        <f>+AVERAGE(D42,L42)</f>
        <v>11559</v>
      </c>
      <c r="I42" s="360">
        <f>1/(H42/$C$6)</f>
        <v>0.29519335582662859</v>
      </c>
      <c r="J42" s="363">
        <f>+$C$7*$C$8/I42</f>
        <v>0.68416174013961917</v>
      </c>
      <c r="K42" s="358">
        <f>+K43</f>
        <v>14</v>
      </c>
      <c r="L42" s="359">
        <f>+L43</f>
        <v>11860</v>
      </c>
      <c r="M42" s="360">
        <f>1/(L42/$C$6)</f>
        <v>0.2877015177065767</v>
      </c>
      <c r="N42" s="363">
        <f>+$C$7*$C$8/M42</f>
        <v>0.70197752729958329</v>
      </c>
      <c r="O42" s="4"/>
      <c r="P42" s="4"/>
      <c r="Q42" s="4"/>
      <c r="R42" s="4"/>
      <c r="S42" s="4"/>
      <c r="T42" s="4"/>
      <c r="U42" s="4"/>
      <c r="V42" s="4"/>
      <c r="W42" s="4"/>
      <c r="X42" s="4"/>
      <c r="Y42" s="4"/>
      <c r="AA42" s="28"/>
      <c r="AB42" s="9"/>
      <c r="AC42" s="9"/>
      <c r="AD42" s="9"/>
      <c r="AE42" s="9"/>
    </row>
    <row r="43" spans="2:31" x14ac:dyDescent="0.3">
      <c r="B43" s="47" t="s">
        <v>100</v>
      </c>
      <c r="C43" s="50">
        <v>14</v>
      </c>
      <c r="D43" s="49">
        <v>11258</v>
      </c>
      <c r="E43" s="55">
        <f t="shared" si="9"/>
        <v>0.30308580564931603</v>
      </c>
      <c r="F43" s="350">
        <f t="shared" si="10"/>
        <v>0.66634595297965504</v>
      </c>
      <c r="G43" s="352"/>
      <c r="H43" s="29"/>
      <c r="I43" s="18"/>
      <c r="J43" s="353">
        <f t="shared" si="11"/>
        <v>0.68416174013961917</v>
      </c>
      <c r="K43" s="50">
        <v>14</v>
      </c>
      <c r="L43" s="49">
        <v>11860</v>
      </c>
      <c r="M43" s="55">
        <f t="shared" si="12"/>
        <v>0.2877015177065767</v>
      </c>
      <c r="N43" s="353">
        <f t="shared" si="13"/>
        <v>0.70197752729958329</v>
      </c>
      <c r="O43" s="4"/>
      <c r="P43" s="4"/>
      <c r="Q43" s="4"/>
      <c r="R43" s="4"/>
      <c r="S43" s="4"/>
      <c r="T43" s="4"/>
      <c r="U43" s="4"/>
      <c r="V43" s="4"/>
      <c r="W43" s="4"/>
      <c r="X43" s="4"/>
      <c r="Y43" s="4"/>
      <c r="AA43" s="28"/>
      <c r="AB43" s="9"/>
      <c r="AC43" s="9"/>
      <c r="AD43" s="9"/>
      <c r="AE43" s="9"/>
    </row>
    <row r="44" spans="2:31" x14ac:dyDescent="0.3">
      <c r="B44" s="357" t="s">
        <v>22</v>
      </c>
      <c r="C44" s="358">
        <f>+SUM(C45:C46)</f>
        <v>18</v>
      </c>
      <c r="D44" s="359">
        <f>SUMPRODUCT(C45:C46,D45:D46)/C44</f>
        <v>12145</v>
      </c>
      <c r="E44" s="360">
        <f>1/(D44/$C$6)</f>
        <v>0.28095018526142446</v>
      </c>
      <c r="F44" s="361">
        <f>+$C$7*$C$8/E44</f>
        <v>0.71884629587297122</v>
      </c>
      <c r="G44" s="362">
        <f>+AVERAGE(C44,K44)</f>
        <v>18</v>
      </c>
      <c r="H44" s="359">
        <f>+AVERAGE(D44,L44)</f>
        <v>12145</v>
      </c>
      <c r="I44" s="360">
        <f>1/(H44/$C$6)</f>
        <v>0.28095018526142446</v>
      </c>
      <c r="J44" s="363">
        <f>+$C$7*$C$8/I44</f>
        <v>0.71884629587297122</v>
      </c>
      <c r="K44" s="358">
        <f>+SUM(K45:K46)</f>
        <v>18</v>
      </c>
      <c r="L44" s="359">
        <f>SUMPRODUCT(K45:K46,L45:L46)/K44</f>
        <v>12145</v>
      </c>
      <c r="M44" s="360">
        <f>1/(L44/$C$6)</f>
        <v>0.28095018526142446</v>
      </c>
      <c r="N44" s="363">
        <f>+$C$7*$C$8/M44</f>
        <v>0.71884629587297122</v>
      </c>
      <c r="O44" s="4"/>
      <c r="P44" s="4"/>
      <c r="Q44" s="4"/>
      <c r="R44" s="4"/>
      <c r="S44" s="4"/>
      <c r="T44" s="4"/>
      <c r="U44" s="4"/>
      <c r="V44" s="4"/>
      <c r="W44" s="4"/>
      <c r="X44" s="4"/>
      <c r="Y44" s="4"/>
      <c r="AA44" s="28"/>
      <c r="AB44" s="9"/>
      <c r="AC44" s="9"/>
      <c r="AD44" s="9"/>
      <c r="AE44" s="9"/>
    </row>
    <row r="45" spans="2:31" x14ac:dyDescent="0.3">
      <c r="B45" s="47" t="s">
        <v>111</v>
      </c>
      <c r="C45" s="50">
        <v>9</v>
      </c>
      <c r="D45" s="49">
        <v>12145</v>
      </c>
      <c r="E45" s="55">
        <f t="shared" si="9"/>
        <v>0.28095018526142446</v>
      </c>
      <c r="F45" s="350">
        <f t="shared" si="10"/>
        <v>0.71884629587297122</v>
      </c>
      <c r="G45" s="352"/>
      <c r="H45" s="29"/>
      <c r="I45" s="18"/>
      <c r="J45" s="353">
        <f t="shared" si="11"/>
        <v>0.71884629587297122</v>
      </c>
      <c r="K45" s="50">
        <v>9</v>
      </c>
      <c r="L45" s="49">
        <v>12145</v>
      </c>
      <c r="M45" s="55">
        <f t="shared" si="12"/>
        <v>0.28095018526142446</v>
      </c>
      <c r="N45" s="353">
        <f t="shared" si="13"/>
        <v>0.71884629587297122</v>
      </c>
      <c r="O45" s="4"/>
      <c r="P45" s="4"/>
      <c r="Q45" s="4"/>
      <c r="R45" s="4"/>
      <c r="S45" s="4"/>
      <c r="T45" s="4"/>
      <c r="U45" s="4"/>
      <c r="V45" s="4"/>
      <c r="W45" s="4"/>
      <c r="X45" s="4"/>
      <c r="Y45" s="4"/>
      <c r="AA45" s="28"/>
      <c r="AB45" s="9"/>
      <c r="AC45" s="9"/>
      <c r="AD45" s="9"/>
      <c r="AE45" s="9"/>
    </row>
    <row r="46" spans="2:31" x14ac:dyDescent="0.3">
      <c r="B46" s="47" t="s">
        <v>112</v>
      </c>
      <c r="C46" s="50">
        <v>9</v>
      </c>
      <c r="D46" s="49">
        <v>12145</v>
      </c>
      <c r="E46" s="55">
        <f t="shared" si="9"/>
        <v>0.28095018526142446</v>
      </c>
      <c r="F46" s="350">
        <f t="shared" si="10"/>
        <v>0.71884629587297122</v>
      </c>
      <c r="G46" s="354"/>
      <c r="H46" s="30"/>
      <c r="I46" s="4"/>
      <c r="J46" s="353">
        <f t="shared" si="11"/>
        <v>0.71884629587297122</v>
      </c>
      <c r="K46" s="50">
        <v>9</v>
      </c>
      <c r="L46" s="49">
        <v>12145</v>
      </c>
      <c r="M46" s="55">
        <f t="shared" si="12"/>
        <v>0.28095018526142446</v>
      </c>
      <c r="N46" s="353">
        <f t="shared" si="13"/>
        <v>0.71884629587297122</v>
      </c>
      <c r="O46" s="4"/>
      <c r="P46" s="4"/>
      <c r="Q46" s="4"/>
      <c r="R46" s="4"/>
      <c r="S46" s="4"/>
      <c r="T46" s="4"/>
      <c r="U46" s="4"/>
      <c r="V46" s="4"/>
      <c r="W46" s="4"/>
      <c r="X46" s="4"/>
      <c r="Y46" s="4"/>
      <c r="AA46" s="28"/>
      <c r="AB46" s="9"/>
      <c r="AC46" s="9"/>
      <c r="AD46" s="9"/>
      <c r="AE46" s="9"/>
    </row>
    <row r="47" spans="2:31" x14ac:dyDescent="0.3">
      <c r="B47" s="357" t="s">
        <v>17</v>
      </c>
      <c r="C47" s="364"/>
      <c r="D47" s="365"/>
      <c r="E47" s="366"/>
      <c r="F47" s="367"/>
      <c r="G47" s="368"/>
      <c r="H47" s="365"/>
      <c r="I47" s="366"/>
      <c r="J47" s="369"/>
      <c r="K47" s="358">
        <f>+SUM(K48:K49)</f>
        <v>44</v>
      </c>
      <c r="L47" s="359">
        <f>SUMPRODUCT(K48:K49,L48:L49)/K47</f>
        <v>11761</v>
      </c>
      <c r="M47" s="360">
        <f>1/(L47/$C$6)</f>
        <v>0.29012328883598332</v>
      </c>
      <c r="N47" s="363">
        <f>+$C$7*$C$8/M47</f>
        <v>0.69611784979514324</v>
      </c>
      <c r="O47" s="4"/>
      <c r="P47" s="4"/>
      <c r="Q47" s="4"/>
      <c r="R47" s="4"/>
      <c r="S47" s="4"/>
      <c r="T47" s="4"/>
      <c r="U47" s="4"/>
      <c r="V47" s="4"/>
      <c r="W47" s="4"/>
      <c r="X47" s="4"/>
      <c r="Y47" s="4"/>
      <c r="AA47" s="28"/>
      <c r="AB47" s="9"/>
      <c r="AC47" s="9"/>
      <c r="AD47" s="9"/>
      <c r="AE47" s="9"/>
    </row>
    <row r="48" spans="2:31" x14ac:dyDescent="0.3">
      <c r="B48" s="47" t="s">
        <v>85</v>
      </c>
      <c r="C48" s="105"/>
      <c r="D48" s="29"/>
      <c r="E48" s="18"/>
      <c r="F48" s="18"/>
      <c r="G48" s="352"/>
      <c r="H48" s="29"/>
      <c r="I48" s="18"/>
      <c r="J48" s="19"/>
      <c r="K48" s="50">
        <v>22</v>
      </c>
      <c r="L48" s="49">
        <v>11850</v>
      </c>
      <c r="M48" s="55">
        <f t="shared" si="12"/>
        <v>0.28794430379746838</v>
      </c>
      <c r="N48" s="353">
        <f t="shared" si="13"/>
        <v>0.70138564068297304</v>
      </c>
      <c r="O48" s="4"/>
      <c r="P48" s="4"/>
      <c r="Q48" s="4"/>
      <c r="R48" s="4"/>
      <c r="S48" s="4"/>
      <c r="T48" s="4"/>
      <c r="U48" s="4"/>
      <c r="V48" s="4"/>
      <c r="W48" s="4"/>
      <c r="X48" s="4"/>
      <c r="Y48" s="4"/>
      <c r="AA48" s="28"/>
      <c r="AB48" s="9"/>
      <c r="AC48" s="9"/>
      <c r="AD48" s="9"/>
      <c r="AE48" s="9"/>
    </row>
    <row r="49" spans="2:31" x14ac:dyDescent="0.3">
      <c r="B49" s="47" t="s">
        <v>86</v>
      </c>
      <c r="C49" s="213"/>
      <c r="D49" s="30"/>
      <c r="E49" s="4"/>
      <c r="F49" s="4"/>
      <c r="G49" s="354"/>
      <c r="H49" s="30"/>
      <c r="I49" s="4"/>
      <c r="J49" s="5"/>
      <c r="K49" s="50">
        <v>22</v>
      </c>
      <c r="L49" s="49">
        <v>11672</v>
      </c>
      <c r="M49" s="55">
        <f t="shared" si="12"/>
        <v>0.29233550376970524</v>
      </c>
      <c r="N49" s="353">
        <f t="shared" si="13"/>
        <v>0.69085005890731344</v>
      </c>
      <c r="O49" s="4"/>
      <c r="P49" s="4"/>
      <c r="Q49" s="4"/>
      <c r="R49" s="4"/>
      <c r="S49" s="4"/>
      <c r="T49" s="4"/>
      <c r="U49" s="4"/>
      <c r="V49" s="4"/>
      <c r="W49" s="4"/>
      <c r="X49" s="4"/>
      <c r="Y49" s="4"/>
      <c r="AA49" s="28"/>
      <c r="AB49" s="9"/>
      <c r="AC49" s="9"/>
      <c r="AD49" s="9"/>
      <c r="AE49" s="9"/>
    </row>
    <row r="50" spans="2:31" x14ac:dyDescent="0.3">
      <c r="B50" s="357" t="s">
        <v>45</v>
      </c>
      <c r="C50" s="358">
        <f>+SUM(C51:C54)</f>
        <v>72</v>
      </c>
      <c r="D50" s="359">
        <f>SUMPRODUCT(C51:C54,D51:D54)/C50</f>
        <v>12124</v>
      </c>
      <c r="E50" s="360">
        <f>1/(D50/$C$6)</f>
        <v>0.28143681953150773</v>
      </c>
      <c r="F50" s="361">
        <f>+$C$7*$C$8/E50</f>
        <v>0.71760333397809006</v>
      </c>
      <c r="G50" s="362">
        <f>+AVERAGE(C50,K50)</f>
        <v>72</v>
      </c>
      <c r="H50" s="359">
        <f>+AVERAGE(D50,L50)</f>
        <v>12124</v>
      </c>
      <c r="I50" s="360">
        <f>1/(H50/$C$6)</f>
        <v>0.28143681953150773</v>
      </c>
      <c r="J50" s="363">
        <f>+$C$7*$C$8/I50</f>
        <v>0.71760333397809006</v>
      </c>
      <c r="K50" s="358">
        <f>+SUM(K51:K54)</f>
        <v>72</v>
      </c>
      <c r="L50" s="359">
        <f>SUMPRODUCT(K51:K54,L51:L54)/K50</f>
        <v>12124</v>
      </c>
      <c r="M50" s="360">
        <f>1/(L50/$C$6)</f>
        <v>0.28143681953150773</v>
      </c>
      <c r="N50" s="363">
        <f>+$C$7*$C$8/M50</f>
        <v>0.71760333397809006</v>
      </c>
      <c r="O50" s="4"/>
      <c r="P50" s="4"/>
      <c r="Q50" s="4"/>
      <c r="R50" s="4"/>
      <c r="S50" s="4"/>
      <c r="T50" s="4"/>
      <c r="U50" s="4"/>
      <c r="V50" s="4"/>
      <c r="W50" s="4"/>
      <c r="X50" s="4"/>
      <c r="Y50" s="4"/>
      <c r="AA50" s="28"/>
      <c r="AB50" s="9"/>
      <c r="AC50" s="9"/>
      <c r="AD50" s="9"/>
      <c r="AE50" s="9"/>
    </row>
    <row r="51" spans="2:31" x14ac:dyDescent="0.3">
      <c r="B51" s="47" t="s">
        <v>101</v>
      </c>
      <c r="C51" s="50">
        <v>18</v>
      </c>
      <c r="D51" s="49">
        <v>12124</v>
      </c>
      <c r="E51" s="55">
        <f t="shared" ref="E51:E54" si="17">1/(D50/$C$6)</f>
        <v>0.28143681953150773</v>
      </c>
      <c r="F51" s="350">
        <f t="shared" ref="F51:F54" si="18">+$C$7*$C$8/E50</f>
        <v>0.71760333397809006</v>
      </c>
      <c r="G51" s="352"/>
      <c r="H51" s="29"/>
      <c r="I51" s="18"/>
      <c r="J51" s="353">
        <f t="shared" ref="J51:J54" si="19">+AVERAGE(F51,N51)</f>
        <v>0.71760333397809006</v>
      </c>
      <c r="K51" s="50">
        <v>18</v>
      </c>
      <c r="L51" s="49">
        <v>12124</v>
      </c>
      <c r="M51" s="55">
        <f t="shared" si="12"/>
        <v>0.28143681953150773</v>
      </c>
      <c r="N51" s="353">
        <f t="shared" si="13"/>
        <v>0.71760333397809006</v>
      </c>
      <c r="O51" s="4"/>
      <c r="P51" s="4"/>
      <c r="Q51" s="4"/>
      <c r="R51" s="4"/>
      <c r="S51" s="4"/>
      <c r="T51" s="4"/>
      <c r="U51" s="4"/>
      <c r="V51" s="4"/>
      <c r="W51" s="4"/>
      <c r="X51" s="4"/>
      <c r="Y51" s="4"/>
      <c r="AA51" s="28"/>
      <c r="AB51" s="9"/>
      <c r="AC51" s="9"/>
      <c r="AD51" s="9"/>
      <c r="AE51" s="9"/>
    </row>
    <row r="52" spans="2:31" x14ac:dyDescent="0.3">
      <c r="B52" s="47" t="s">
        <v>102</v>
      </c>
      <c r="C52" s="50">
        <v>18</v>
      </c>
      <c r="D52" s="49">
        <v>12124</v>
      </c>
      <c r="E52" s="55">
        <f t="shared" si="17"/>
        <v>0.28143681953150773</v>
      </c>
      <c r="F52" s="350">
        <f t="shared" si="18"/>
        <v>0.71760333397809006</v>
      </c>
      <c r="G52" s="354"/>
      <c r="H52" s="30"/>
      <c r="I52" s="4"/>
      <c r="J52" s="353">
        <f t="shared" si="19"/>
        <v>0.71760333397809006</v>
      </c>
      <c r="K52" s="50">
        <v>18</v>
      </c>
      <c r="L52" s="49">
        <v>12124</v>
      </c>
      <c r="M52" s="55">
        <f t="shared" si="12"/>
        <v>0.28143681953150773</v>
      </c>
      <c r="N52" s="353">
        <f t="shared" si="13"/>
        <v>0.71760333397809006</v>
      </c>
      <c r="O52" s="4"/>
      <c r="P52" s="4"/>
      <c r="Q52" s="4"/>
      <c r="R52" s="4"/>
      <c r="S52" s="4"/>
      <c r="T52" s="4"/>
      <c r="U52" s="4"/>
      <c r="V52" s="4"/>
      <c r="W52" s="4"/>
      <c r="X52" s="4"/>
      <c r="Y52" s="4"/>
      <c r="AA52" s="28"/>
      <c r="AB52" s="9"/>
      <c r="AC52" s="9"/>
      <c r="AD52" s="9"/>
      <c r="AE52" s="9"/>
    </row>
    <row r="53" spans="2:31" x14ac:dyDescent="0.3">
      <c r="B53" s="47" t="s">
        <v>103</v>
      </c>
      <c r="C53" s="50">
        <v>18</v>
      </c>
      <c r="D53" s="49">
        <v>12124</v>
      </c>
      <c r="E53" s="55">
        <f t="shared" si="17"/>
        <v>0.28143681953150773</v>
      </c>
      <c r="F53" s="350">
        <f t="shared" si="18"/>
        <v>0.71760333397809006</v>
      </c>
      <c r="G53" s="354"/>
      <c r="H53" s="30"/>
      <c r="I53" s="4"/>
      <c r="J53" s="353">
        <f t="shared" si="19"/>
        <v>0.71760333397809006</v>
      </c>
      <c r="K53" s="50">
        <v>18</v>
      </c>
      <c r="L53" s="49">
        <v>12124</v>
      </c>
      <c r="M53" s="55">
        <f t="shared" si="12"/>
        <v>0.28143681953150773</v>
      </c>
      <c r="N53" s="353">
        <f t="shared" si="13"/>
        <v>0.71760333397809006</v>
      </c>
      <c r="O53" s="4"/>
      <c r="P53" s="4"/>
      <c r="Q53" s="4"/>
      <c r="R53" s="4"/>
      <c r="S53" s="4"/>
      <c r="T53" s="4"/>
      <c r="U53" s="4"/>
      <c r="V53" s="4"/>
      <c r="W53" s="4"/>
      <c r="X53" s="4"/>
      <c r="Y53" s="4"/>
      <c r="AA53" s="28"/>
      <c r="AB53" s="9"/>
      <c r="AC53" s="9"/>
      <c r="AD53" s="9"/>
      <c r="AE53" s="9"/>
    </row>
    <row r="54" spans="2:31" x14ac:dyDescent="0.3">
      <c r="B54" s="47" t="s">
        <v>104</v>
      </c>
      <c r="C54" s="50">
        <v>18</v>
      </c>
      <c r="D54" s="49">
        <v>12124</v>
      </c>
      <c r="E54" s="56">
        <f t="shared" si="17"/>
        <v>0.28143681953150773</v>
      </c>
      <c r="F54" s="351">
        <f t="shared" si="18"/>
        <v>0.71760333397809006</v>
      </c>
      <c r="G54" s="356"/>
      <c r="H54" s="43"/>
      <c r="I54" s="6"/>
      <c r="J54" s="59">
        <f t="shared" si="19"/>
        <v>0.71760333397809006</v>
      </c>
      <c r="K54" s="50">
        <v>18</v>
      </c>
      <c r="L54" s="49">
        <v>12124</v>
      </c>
      <c r="M54" s="56">
        <f t="shared" si="12"/>
        <v>0.28143681953150773</v>
      </c>
      <c r="N54" s="59">
        <f t="shared" si="13"/>
        <v>0.71760333397809006</v>
      </c>
      <c r="O54" s="4"/>
      <c r="P54" s="4"/>
      <c r="Q54" s="4"/>
      <c r="R54" s="4"/>
      <c r="S54" s="4"/>
      <c r="T54" s="4"/>
      <c r="U54" s="4"/>
      <c r="V54" s="4"/>
      <c r="W54" s="4"/>
      <c r="X54" s="4"/>
      <c r="Y54" s="4"/>
      <c r="AA54" s="28"/>
      <c r="AB54" s="9"/>
      <c r="AC54" s="9"/>
      <c r="AD54" s="9"/>
      <c r="AE54" s="9"/>
    </row>
    <row r="55" spans="2:31" x14ac:dyDescent="0.3">
      <c r="B55" s="2"/>
      <c r="C55" s="13"/>
      <c r="D55" s="13"/>
      <c r="M55" s="4"/>
    </row>
    <row r="56" spans="2:31" x14ac:dyDescent="0.3">
      <c r="B56" s="2"/>
      <c r="C56" s="13"/>
      <c r="D56" s="13"/>
    </row>
    <row r="57" spans="2:31" x14ac:dyDescent="0.3">
      <c r="B57" s="2"/>
      <c r="C57" s="13"/>
      <c r="D57" s="13"/>
    </row>
    <row r="58" spans="2:31" x14ac:dyDescent="0.3">
      <c r="B58" s="2"/>
      <c r="C58" s="13"/>
      <c r="D58" s="13"/>
    </row>
    <row r="59" spans="2:31" x14ac:dyDescent="0.3">
      <c r="B59" s="2"/>
      <c r="C59" s="13"/>
      <c r="D59" s="13"/>
    </row>
  </sheetData>
  <pageMargins left="0.7" right="0.7" top="0.75" bottom="0.75" header="0.3" footer="0.3"/>
  <ignoredErrors>
    <ignoredError sqref="J29" formula="1"/>
  </ignoredErrors>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3:D27"/>
  <sheetViews>
    <sheetView workbookViewId="0"/>
  </sheetViews>
  <sheetFormatPr baseColWidth="10" defaultColWidth="9.109375" defaultRowHeight="14.4" x14ac:dyDescent="0.3"/>
  <cols>
    <col min="1" max="1" width="9.109375" style="1"/>
    <col min="2" max="2" width="5.6640625" style="1" customWidth="1"/>
    <col min="3" max="3" width="72.109375" style="1" bestFit="1" customWidth="1"/>
    <col min="4" max="16384" width="9.109375" style="1"/>
  </cols>
  <sheetData>
    <row r="3" spans="2:4" ht="23.4" x14ac:dyDescent="0.45">
      <c r="B3" s="333" t="s">
        <v>375</v>
      </c>
    </row>
    <row r="7" spans="2:4" x14ac:dyDescent="0.3">
      <c r="B7" s="334"/>
      <c r="C7" s="335" t="s">
        <v>374</v>
      </c>
      <c r="D7" s="336" t="s">
        <v>267</v>
      </c>
    </row>
    <row r="8" spans="2:4" x14ac:dyDescent="0.3">
      <c r="B8" s="337" t="s">
        <v>55</v>
      </c>
      <c r="C8" s="10" t="s">
        <v>73</v>
      </c>
      <c r="D8" s="338"/>
    </row>
    <row r="9" spans="2:4" x14ac:dyDescent="0.3">
      <c r="B9" s="226" t="s">
        <v>57</v>
      </c>
      <c r="C9" s="15" t="s">
        <v>74</v>
      </c>
      <c r="D9" s="147"/>
    </row>
    <row r="10" spans="2:4" x14ac:dyDescent="0.3">
      <c r="B10" s="226" t="s">
        <v>56</v>
      </c>
      <c r="C10" s="15" t="s">
        <v>75</v>
      </c>
      <c r="D10" s="147"/>
    </row>
    <row r="11" spans="2:4" x14ac:dyDescent="0.3">
      <c r="B11" s="226" t="s">
        <v>59</v>
      </c>
      <c r="C11" s="15" t="s">
        <v>69</v>
      </c>
      <c r="D11" s="147"/>
    </row>
    <row r="12" spans="2:4" x14ac:dyDescent="0.3">
      <c r="B12" s="226" t="s">
        <v>68</v>
      </c>
      <c r="C12" s="15" t="s">
        <v>70</v>
      </c>
      <c r="D12" s="147"/>
    </row>
    <row r="13" spans="2:4" x14ac:dyDescent="0.3">
      <c r="B13" s="226" t="s">
        <v>67</v>
      </c>
      <c r="C13" s="15" t="s">
        <v>71</v>
      </c>
      <c r="D13" s="147"/>
    </row>
    <row r="14" spans="2:4" x14ac:dyDescent="0.3">
      <c r="B14" s="226" t="s">
        <v>72</v>
      </c>
      <c r="C14" s="15" t="s">
        <v>71</v>
      </c>
      <c r="D14" s="147"/>
    </row>
    <row r="15" spans="2:4" x14ac:dyDescent="0.3">
      <c r="B15" s="226" t="s">
        <v>264</v>
      </c>
      <c r="C15" s="15" t="s">
        <v>300</v>
      </c>
      <c r="D15" s="339"/>
    </row>
    <row r="16" spans="2:4" x14ac:dyDescent="0.3">
      <c r="B16" s="226" t="s">
        <v>301</v>
      </c>
      <c r="C16" s="15" t="s">
        <v>384</v>
      </c>
      <c r="D16" s="339" t="s">
        <v>266</v>
      </c>
    </row>
    <row r="17" spans="2:4" x14ac:dyDescent="0.3">
      <c r="B17" s="226" t="s">
        <v>309</v>
      </c>
      <c r="C17" s="15" t="s">
        <v>385</v>
      </c>
      <c r="D17" s="339" t="s">
        <v>266</v>
      </c>
    </row>
    <row r="18" spans="2:4" x14ac:dyDescent="0.3">
      <c r="B18" s="226" t="s">
        <v>386</v>
      </c>
      <c r="C18" s="15" t="s">
        <v>383</v>
      </c>
      <c r="D18" s="339" t="s">
        <v>266</v>
      </c>
    </row>
    <row r="19" spans="2:4" x14ac:dyDescent="0.3">
      <c r="B19" s="226" t="s">
        <v>387</v>
      </c>
      <c r="C19" s="15" t="s">
        <v>381</v>
      </c>
      <c r="D19" s="339" t="s">
        <v>266</v>
      </c>
    </row>
    <row r="20" spans="2:4" x14ac:dyDescent="0.3">
      <c r="B20" s="226" t="s">
        <v>388</v>
      </c>
      <c r="C20" s="15" t="s">
        <v>382</v>
      </c>
      <c r="D20" s="339" t="s">
        <v>266</v>
      </c>
    </row>
    <row r="21" spans="2:4" x14ac:dyDescent="0.3">
      <c r="B21" s="226" t="s">
        <v>389</v>
      </c>
      <c r="C21" s="15" t="s">
        <v>378</v>
      </c>
      <c r="D21" s="339" t="s">
        <v>266</v>
      </c>
    </row>
    <row r="22" spans="2:4" x14ac:dyDescent="0.3">
      <c r="B22" s="226" t="s">
        <v>390</v>
      </c>
      <c r="C22" s="15" t="s">
        <v>379</v>
      </c>
      <c r="D22" s="339" t="s">
        <v>266</v>
      </c>
    </row>
    <row r="23" spans="2:4" x14ac:dyDescent="0.3">
      <c r="B23" s="226" t="s">
        <v>391</v>
      </c>
      <c r="C23" s="15" t="s">
        <v>380</v>
      </c>
      <c r="D23" s="339" t="s">
        <v>266</v>
      </c>
    </row>
    <row r="24" spans="2:4" x14ac:dyDescent="0.3">
      <c r="B24" s="226" t="s">
        <v>392</v>
      </c>
      <c r="C24" s="15" t="s">
        <v>311</v>
      </c>
      <c r="D24" s="339" t="s">
        <v>266</v>
      </c>
    </row>
    <row r="25" spans="2:4" x14ac:dyDescent="0.3">
      <c r="B25" s="226" t="s">
        <v>393</v>
      </c>
      <c r="C25" s="15" t="s">
        <v>377</v>
      </c>
      <c r="D25" s="339" t="s">
        <v>266</v>
      </c>
    </row>
    <row r="26" spans="2:4" x14ac:dyDescent="0.3">
      <c r="B26" s="226" t="s">
        <v>394</v>
      </c>
      <c r="C26" s="15" t="s">
        <v>265</v>
      </c>
      <c r="D26" s="339" t="s">
        <v>266</v>
      </c>
    </row>
    <row r="27" spans="2:4" x14ac:dyDescent="0.3">
      <c r="B27" s="226" t="s">
        <v>525</v>
      </c>
      <c r="C27" s="15" t="s">
        <v>526</v>
      </c>
      <c r="D27" s="134"/>
    </row>
  </sheetData>
  <hyperlinks>
    <hyperlink ref="D26" r:id="rId1"/>
    <hyperlink ref="D24" r:id="rId2"/>
    <hyperlink ref="D16" r:id="rId3"/>
    <hyperlink ref="D17" r:id="rId4"/>
    <hyperlink ref="D18" r:id="rId5"/>
    <hyperlink ref="D19" r:id="rId6"/>
    <hyperlink ref="D20" r:id="rId7"/>
    <hyperlink ref="D21" r:id="rId8"/>
    <hyperlink ref="D22" r:id="rId9"/>
    <hyperlink ref="D23" r:id="rId10"/>
    <hyperlink ref="D25" r:id="rId11"/>
  </hyperlinks>
  <pageMargins left="0.7" right="0.7" top="0.75" bottom="0.75" header="0.3" footer="0.3"/>
  <drawing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J178"/>
  <sheetViews>
    <sheetView topLeftCell="A46" zoomScaleNormal="100" workbookViewId="0"/>
  </sheetViews>
  <sheetFormatPr baseColWidth="10" defaultColWidth="9.109375" defaultRowHeight="14.4" x14ac:dyDescent="0.3"/>
  <cols>
    <col min="1" max="1" width="9.109375" style="1"/>
    <col min="2" max="2" width="37" style="1" customWidth="1"/>
    <col min="3" max="3" width="13.5546875" style="1" customWidth="1"/>
    <col min="4" max="5" width="11.109375" style="1" customWidth="1"/>
    <col min="6" max="6" width="14.44140625" style="1" customWidth="1"/>
    <col min="7" max="7" width="15.33203125" style="1" customWidth="1"/>
    <col min="8" max="8" width="16.88671875" style="1" customWidth="1"/>
    <col min="9" max="16384" width="9.109375" style="1"/>
  </cols>
  <sheetData>
    <row r="3" spans="2:10" ht="23.4" x14ac:dyDescent="0.45">
      <c r="B3" s="286" t="s">
        <v>356</v>
      </c>
      <c r="D3" s="286">
        <v>2017</v>
      </c>
    </row>
    <row r="4" spans="2:10" x14ac:dyDescent="0.3">
      <c r="G4" s="9"/>
      <c r="H4" s="9"/>
      <c r="I4" s="9"/>
      <c r="J4" s="9"/>
    </row>
    <row r="5" spans="2:10" x14ac:dyDescent="0.3">
      <c r="G5" s="9"/>
      <c r="H5" s="9"/>
      <c r="I5" s="9"/>
      <c r="J5" s="9"/>
    </row>
    <row r="6" spans="2:10" x14ac:dyDescent="0.3">
      <c r="B6" s="86" t="s">
        <v>160</v>
      </c>
      <c r="C6" s="87">
        <f>+C7+C9</f>
        <v>8891442.873232197</v>
      </c>
      <c r="D6" s="32"/>
      <c r="E6" s="32"/>
      <c r="F6" s="32"/>
      <c r="G6" s="32"/>
      <c r="H6" s="9"/>
      <c r="I6" s="9"/>
      <c r="J6" s="9"/>
    </row>
    <row r="7" spans="2:10" x14ac:dyDescent="0.3">
      <c r="B7" s="88" t="s">
        <v>161</v>
      </c>
      <c r="C7" s="90">
        <f>+C90+C162+C170+C176</f>
        <v>2335360.3836499988</v>
      </c>
      <c r="D7" s="98"/>
      <c r="E7" s="98"/>
      <c r="F7" s="98"/>
      <c r="G7" s="32"/>
      <c r="H7" s="9"/>
      <c r="I7" s="9"/>
      <c r="J7" s="9"/>
    </row>
    <row r="8" spans="2:10" x14ac:dyDescent="0.3">
      <c r="B8" s="88" t="s">
        <v>76</v>
      </c>
      <c r="C8" s="91">
        <f>+C7/C6</f>
        <v>0.26265257697157696</v>
      </c>
      <c r="D8" s="94"/>
      <c r="E8" s="94"/>
      <c r="F8" s="94"/>
      <c r="G8" s="32"/>
      <c r="H8" s="9"/>
      <c r="I8" s="9"/>
      <c r="J8" s="9"/>
    </row>
    <row r="9" spans="2:10" x14ac:dyDescent="0.3">
      <c r="B9" s="88" t="s">
        <v>162</v>
      </c>
      <c r="C9" s="90">
        <f>+C22</f>
        <v>6556082.4895821987</v>
      </c>
      <c r="D9" s="98"/>
      <c r="E9" s="98"/>
      <c r="F9" s="98"/>
      <c r="G9" s="32"/>
      <c r="H9" s="9"/>
      <c r="I9" s="9"/>
      <c r="J9" s="9"/>
    </row>
    <row r="10" spans="2:10" x14ac:dyDescent="0.3">
      <c r="B10" s="89" t="s">
        <v>77</v>
      </c>
      <c r="C10" s="92">
        <f>+C9/C6</f>
        <v>0.73734742302842315</v>
      </c>
      <c r="D10" s="94"/>
      <c r="E10" s="94"/>
      <c r="F10" s="94"/>
      <c r="G10" s="33"/>
      <c r="H10" s="9"/>
      <c r="I10" s="9"/>
      <c r="J10" s="9"/>
    </row>
    <row r="11" spans="2:10" x14ac:dyDescent="0.3">
      <c r="B11" s="93"/>
      <c r="C11" s="94"/>
      <c r="D11" s="94"/>
      <c r="E11" s="94"/>
      <c r="F11" s="94"/>
      <c r="G11" s="33"/>
      <c r="H11" s="9"/>
      <c r="I11" s="9"/>
      <c r="J11" s="9"/>
    </row>
    <row r="12" spans="2:10" x14ac:dyDescent="0.3">
      <c r="B12" s="86" t="s">
        <v>273</v>
      </c>
      <c r="C12" s="174"/>
      <c r="D12" s="94"/>
      <c r="E12" s="94"/>
      <c r="F12" s="94"/>
      <c r="G12" s="33"/>
      <c r="H12" s="9"/>
      <c r="I12" s="9"/>
      <c r="J12" s="9"/>
    </row>
    <row r="13" spans="2:10" x14ac:dyDescent="0.3">
      <c r="B13" s="178" t="s">
        <v>115</v>
      </c>
      <c r="C13" s="175">
        <v>3412.14</v>
      </c>
      <c r="D13" s="94"/>
      <c r="E13" s="94"/>
      <c r="F13" s="94"/>
      <c r="G13" s="33"/>
      <c r="H13" s="9"/>
      <c r="I13" s="9"/>
      <c r="J13" s="9"/>
    </row>
    <row r="14" spans="2:10" ht="18.75" customHeight="1" x14ac:dyDescent="0.3">
      <c r="B14" s="178" t="s">
        <v>272</v>
      </c>
      <c r="C14" s="176">
        <v>5.6099999999999997E-2</v>
      </c>
      <c r="D14" s="94"/>
      <c r="E14" s="94"/>
      <c r="F14" s="94"/>
      <c r="G14" s="33"/>
      <c r="H14" s="9"/>
      <c r="I14" s="9"/>
      <c r="J14" s="9"/>
    </row>
    <row r="15" spans="2:10" ht="14.25" customHeight="1" x14ac:dyDescent="0.3">
      <c r="B15" s="179" t="s">
        <v>116</v>
      </c>
      <c r="C15" s="177">
        <v>3.6</v>
      </c>
      <c r="D15" s="94"/>
      <c r="E15" s="94"/>
      <c r="F15" s="94"/>
      <c r="G15" s="33"/>
      <c r="H15" s="9"/>
      <c r="I15" s="9"/>
      <c r="J15" s="9"/>
    </row>
    <row r="16" spans="2:10" ht="15" thickBot="1" x14ac:dyDescent="0.35">
      <c r="B16" s="93"/>
      <c r="C16" s="94"/>
      <c r="D16" s="94"/>
      <c r="E16" s="94"/>
      <c r="F16" s="94"/>
      <c r="G16" s="33"/>
      <c r="H16" s="9"/>
      <c r="I16" s="9"/>
      <c r="J16" s="9"/>
    </row>
    <row r="17" spans="2:10" ht="16.2" thickBot="1" x14ac:dyDescent="0.4">
      <c r="B17" s="96" t="s">
        <v>171</v>
      </c>
      <c r="C17" s="97">
        <f>+H22/C6</f>
        <v>0.42261392631992878</v>
      </c>
      <c r="D17" s="95"/>
      <c r="E17" s="95"/>
      <c r="F17" s="95"/>
      <c r="G17" s="33"/>
      <c r="H17" s="9"/>
      <c r="I17" s="9"/>
      <c r="J17" s="9"/>
    </row>
    <row r="18" spans="2:10" ht="15" thickBot="1" x14ac:dyDescent="0.35">
      <c r="B18" s="93"/>
      <c r="C18" s="95"/>
      <c r="D18" s="95"/>
      <c r="E18" s="95"/>
      <c r="F18" s="95"/>
      <c r="G18" s="33"/>
      <c r="H18" s="9"/>
      <c r="I18" s="9"/>
      <c r="J18" s="9"/>
    </row>
    <row r="19" spans="2:10" ht="16.2" thickBot="1" x14ac:dyDescent="0.4">
      <c r="B19" s="96" t="s">
        <v>171</v>
      </c>
      <c r="C19" s="97">
        <f>+H22/C9</f>
        <v>0.57315440879168567</v>
      </c>
      <c r="D19" s="95"/>
      <c r="E19" s="95"/>
      <c r="F19" s="95"/>
      <c r="G19" s="33"/>
      <c r="H19" s="9"/>
      <c r="I19" s="9"/>
      <c r="J19" s="9"/>
    </row>
    <row r="20" spans="2:10" x14ac:dyDescent="0.3">
      <c r="B20" s="93"/>
      <c r="C20" s="95"/>
      <c r="D20" s="95"/>
      <c r="E20" s="95"/>
      <c r="F20" s="95"/>
      <c r="G20" s="33"/>
      <c r="H20" s="9"/>
      <c r="I20" s="9"/>
      <c r="J20" s="9"/>
    </row>
    <row r="21" spans="2:10" ht="33" customHeight="1" x14ac:dyDescent="0.35">
      <c r="B21" s="81" t="s">
        <v>163</v>
      </c>
      <c r="C21" s="79" t="s">
        <v>197</v>
      </c>
      <c r="D21" s="79" t="s">
        <v>168</v>
      </c>
      <c r="E21" s="79" t="s">
        <v>169</v>
      </c>
      <c r="F21" s="79" t="s">
        <v>170</v>
      </c>
      <c r="G21" s="79" t="s">
        <v>209</v>
      </c>
      <c r="H21" s="80" t="s">
        <v>208</v>
      </c>
    </row>
    <row r="22" spans="2:10" x14ac:dyDescent="0.3">
      <c r="B22" s="16" t="s">
        <v>15</v>
      </c>
      <c r="C22" s="58">
        <f>SUM(C23:C87)</f>
        <v>6556082.4895821987</v>
      </c>
      <c r="D22" s="58">
        <f>SUM(D23:D87)</f>
        <v>1419.7399999999996</v>
      </c>
      <c r="E22" s="58"/>
      <c r="F22" s="58"/>
      <c r="G22" s="17"/>
      <c r="H22" s="74">
        <f>SUM(H23:H87)</f>
        <v>3757647.5833060076</v>
      </c>
    </row>
    <row r="23" spans="2:10" x14ac:dyDescent="0.3">
      <c r="B23" s="75" t="s">
        <v>317</v>
      </c>
      <c r="C23" s="61"/>
      <c r="D23" s="106"/>
      <c r="E23" s="54"/>
      <c r="F23" s="51"/>
      <c r="G23" s="46"/>
      <c r="H23" s="65">
        <f>+G23*C23</f>
        <v>0</v>
      </c>
    </row>
    <row r="24" spans="2:10" x14ac:dyDescent="0.3">
      <c r="B24" s="76" t="s">
        <v>318</v>
      </c>
      <c r="C24" s="49">
        <v>49236.522900000004</v>
      </c>
      <c r="D24" s="50">
        <v>17.5</v>
      </c>
      <c r="E24" s="49">
        <v>9534</v>
      </c>
      <c r="F24" s="55">
        <f>1/(E24/$C$13)</f>
        <v>0.35789175582127125</v>
      </c>
      <c r="G24" s="59">
        <f>+$C$14*$C$15/F24</f>
        <v>0.56430470027607305</v>
      </c>
      <c r="H24" s="60">
        <f>+G24*C24</f>
        <v>27784.401297720509</v>
      </c>
    </row>
    <row r="25" spans="2:10" x14ac:dyDescent="0.3">
      <c r="B25" s="76" t="s">
        <v>324</v>
      </c>
      <c r="C25" s="49">
        <v>148687.6958000001</v>
      </c>
      <c r="D25" s="50">
        <v>32.4</v>
      </c>
      <c r="E25" s="49">
        <v>8354</v>
      </c>
      <c r="F25" s="55">
        <f>1/(E25/$C$13)</f>
        <v>0.40844385922911175</v>
      </c>
      <c r="G25" s="59">
        <f>+$C$14*$C$15/F25</f>
        <v>0.4944620795160809</v>
      </c>
      <c r="H25" s="60">
        <f>+G25*C25</f>
        <v>73520.427263722493</v>
      </c>
    </row>
    <row r="26" spans="2:10" x14ac:dyDescent="0.3">
      <c r="B26" s="75" t="s">
        <v>19</v>
      </c>
      <c r="C26" s="61"/>
      <c r="D26" s="106"/>
      <c r="E26" s="54"/>
      <c r="F26" s="51"/>
      <c r="G26" s="46"/>
      <c r="H26" s="65">
        <f>+G26*C26</f>
        <v>0</v>
      </c>
    </row>
    <row r="27" spans="2:10" x14ac:dyDescent="0.3">
      <c r="B27" s="76" t="s">
        <v>87</v>
      </c>
      <c r="C27" s="49">
        <v>511.0025</v>
      </c>
      <c r="D27" s="50">
        <v>3</v>
      </c>
      <c r="E27" s="49">
        <v>10201</v>
      </c>
      <c r="F27" s="55">
        <f>1/(E27/$C$13)</f>
        <v>0.33449073620233311</v>
      </c>
      <c r="G27" s="59">
        <f>+$C$14*$C$15/F27</f>
        <v>0.60378353760396697</v>
      </c>
      <c r="H27" s="60">
        <f>+G27*C27</f>
        <v>308.53489717447115</v>
      </c>
    </row>
    <row r="28" spans="2:10" x14ac:dyDescent="0.3">
      <c r="B28" s="76" t="s">
        <v>88</v>
      </c>
      <c r="C28" s="49">
        <v>148.19450000000001</v>
      </c>
      <c r="D28" s="50">
        <v>3</v>
      </c>
      <c r="E28" s="49">
        <v>10201</v>
      </c>
      <c r="F28" s="55">
        <f t="shared" ref="F28:F86" si="0">1/(E28/$C$13)</f>
        <v>0.33449073620233311</v>
      </c>
      <c r="G28" s="59">
        <f t="shared" ref="G28:G86" si="1">+$C$14*$C$15/F28</f>
        <v>0.60378353760396697</v>
      </c>
      <c r="H28" s="60">
        <f t="shared" ref="H28:H37" si="2">+G28*C28</f>
        <v>89.477399463451093</v>
      </c>
    </row>
    <row r="29" spans="2:10" x14ac:dyDescent="0.3">
      <c r="B29" s="76" t="s">
        <v>89</v>
      </c>
      <c r="C29" s="49">
        <v>740.51250000000005</v>
      </c>
      <c r="D29" s="50">
        <v>3</v>
      </c>
      <c r="E29" s="49">
        <v>10201</v>
      </c>
      <c r="F29" s="55">
        <f t="shared" si="0"/>
        <v>0.33449073620233311</v>
      </c>
      <c r="G29" s="59">
        <f t="shared" si="1"/>
        <v>0.60378353760396697</v>
      </c>
      <c r="H29" s="60">
        <f t="shared" si="2"/>
        <v>447.10925688995763</v>
      </c>
    </row>
    <row r="30" spans="2:10" x14ac:dyDescent="0.3">
      <c r="B30" s="76" t="s">
        <v>92</v>
      </c>
      <c r="C30" s="49">
        <v>139685.16</v>
      </c>
      <c r="D30" s="50">
        <v>18</v>
      </c>
      <c r="E30" s="49">
        <v>11497</v>
      </c>
      <c r="F30" s="55">
        <f t="shared" si="0"/>
        <v>0.29678524832565017</v>
      </c>
      <c r="G30" s="59">
        <f t="shared" si="1"/>
        <v>0.68049204311663647</v>
      </c>
      <c r="H30" s="60">
        <f t="shared" si="2"/>
        <v>95054.639921474271</v>
      </c>
    </row>
    <row r="31" spans="2:10" x14ac:dyDescent="0.3">
      <c r="B31" s="76" t="s">
        <v>93</v>
      </c>
      <c r="C31" s="49">
        <v>697.1232500000001</v>
      </c>
      <c r="D31" s="50">
        <v>2</v>
      </c>
      <c r="E31" s="49">
        <v>9050</v>
      </c>
      <c r="F31" s="55">
        <f t="shared" si="0"/>
        <v>0.37703204419889497</v>
      </c>
      <c r="G31" s="59">
        <f t="shared" si="1"/>
        <v>0.53565738803214413</v>
      </c>
      <c r="H31" s="60">
        <f t="shared" si="2"/>
        <v>373.41921923147947</v>
      </c>
    </row>
    <row r="32" spans="2:10" x14ac:dyDescent="0.3">
      <c r="B32" s="76" t="s">
        <v>94</v>
      </c>
      <c r="C32" s="49"/>
      <c r="D32" s="50">
        <v>2</v>
      </c>
      <c r="E32" s="49">
        <v>9050</v>
      </c>
      <c r="F32" s="55">
        <f t="shared" si="0"/>
        <v>0.37703204419889497</v>
      </c>
      <c r="G32" s="59">
        <f t="shared" si="1"/>
        <v>0.53565738803214413</v>
      </c>
      <c r="H32" s="60">
        <f t="shared" si="2"/>
        <v>0</v>
      </c>
    </row>
    <row r="33" spans="2:8" x14ac:dyDescent="0.3">
      <c r="B33" s="76" t="s">
        <v>95</v>
      </c>
      <c r="C33" s="49">
        <v>657.71189500000003</v>
      </c>
      <c r="D33" s="50">
        <v>2</v>
      </c>
      <c r="E33" s="49">
        <v>9050</v>
      </c>
      <c r="F33" s="55">
        <f t="shared" si="0"/>
        <v>0.37703204419889497</v>
      </c>
      <c r="G33" s="59">
        <f t="shared" si="1"/>
        <v>0.53565738803214413</v>
      </c>
      <c r="H33" s="60">
        <f t="shared" si="2"/>
        <v>352.30823575337183</v>
      </c>
    </row>
    <row r="34" spans="2:8" x14ac:dyDescent="0.3">
      <c r="B34" s="76" t="s">
        <v>96</v>
      </c>
      <c r="C34" s="49">
        <v>0</v>
      </c>
      <c r="D34" s="50">
        <v>2</v>
      </c>
      <c r="E34" s="49">
        <v>9050</v>
      </c>
      <c r="F34" s="55">
        <f t="shared" si="0"/>
        <v>0.37703204419889497</v>
      </c>
      <c r="G34" s="59">
        <f t="shared" si="1"/>
        <v>0.53565738803214413</v>
      </c>
      <c r="H34" s="60">
        <f t="shared" si="2"/>
        <v>0</v>
      </c>
    </row>
    <row r="35" spans="2:8" x14ac:dyDescent="0.3">
      <c r="B35" s="76" t="s">
        <v>97</v>
      </c>
      <c r="C35" s="49">
        <v>0</v>
      </c>
      <c r="D35" s="50">
        <v>2</v>
      </c>
      <c r="E35" s="49">
        <v>9050</v>
      </c>
      <c r="F35" s="55">
        <f t="shared" si="0"/>
        <v>0.37703204419889497</v>
      </c>
      <c r="G35" s="59">
        <f t="shared" si="1"/>
        <v>0.53565738803214413</v>
      </c>
      <c r="H35" s="60">
        <f t="shared" si="2"/>
        <v>0</v>
      </c>
    </row>
    <row r="36" spans="2:8" x14ac:dyDescent="0.3">
      <c r="B36" s="76" t="s">
        <v>98</v>
      </c>
      <c r="C36" s="49">
        <v>0</v>
      </c>
      <c r="D36" s="50">
        <v>2</v>
      </c>
      <c r="E36" s="49">
        <v>9050</v>
      </c>
      <c r="F36" s="55">
        <f t="shared" si="0"/>
        <v>0.37703204419889497</v>
      </c>
      <c r="G36" s="59">
        <f t="shared" si="1"/>
        <v>0.53565738803214413</v>
      </c>
      <c r="H36" s="60">
        <f t="shared" si="2"/>
        <v>0</v>
      </c>
    </row>
    <row r="37" spans="2:8" x14ac:dyDescent="0.3">
      <c r="B37" s="76" t="s">
        <v>99</v>
      </c>
      <c r="C37" s="49">
        <v>474.07699999999943</v>
      </c>
      <c r="D37" s="50">
        <v>2</v>
      </c>
      <c r="E37" s="49">
        <v>9050</v>
      </c>
      <c r="F37" s="56">
        <f t="shared" si="0"/>
        <v>0.37703204419889497</v>
      </c>
      <c r="G37" s="59">
        <f t="shared" si="1"/>
        <v>0.53565738803214413</v>
      </c>
      <c r="H37" s="60">
        <f t="shared" si="2"/>
        <v>253.94284754611448</v>
      </c>
    </row>
    <row r="38" spans="2:8" x14ac:dyDescent="0.3">
      <c r="B38" s="77" t="s">
        <v>20</v>
      </c>
      <c r="C38" s="61"/>
      <c r="D38" s="107"/>
      <c r="E38" s="44"/>
      <c r="F38" s="51"/>
      <c r="G38" s="46"/>
      <c r="H38" s="65">
        <f>+G38*C38</f>
        <v>0</v>
      </c>
    </row>
    <row r="39" spans="2:8" x14ac:dyDescent="0.3">
      <c r="B39" s="76" t="s">
        <v>113</v>
      </c>
      <c r="C39" s="49">
        <v>237695.82099999994</v>
      </c>
      <c r="D39" s="50">
        <v>45</v>
      </c>
      <c r="E39" s="49">
        <v>9004</v>
      </c>
      <c r="F39" s="55">
        <f t="shared" si="0"/>
        <v>0.37895824078187468</v>
      </c>
      <c r="G39" s="59">
        <f t="shared" si="1"/>
        <v>0.53293470959573763</v>
      </c>
      <c r="H39" s="60">
        <f t="shared" ref="H39:H41" si="3">+G39*C39</f>
        <v>126676.3533367554</v>
      </c>
    </row>
    <row r="40" spans="2:8" x14ac:dyDescent="0.3">
      <c r="B40" s="76" t="s">
        <v>114</v>
      </c>
      <c r="C40" s="49">
        <v>77027.985999999757</v>
      </c>
      <c r="D40" s="50">
        <v>45</v>
      </c>
      <c r="E40" s="49">
        <v>9061</v>
      </c>
      <c r="F40" s="56">
        <f t="shared" si="0"/>
        <v>0.37657432954420039</v>
      </c>
      <c r="G40" s="59">
        <f t="shared" si="1"/>
        <v>0.53630846331041515</v>
      </c>
      <c r="H40" s="60">
        <f t="shared" si="3"/>
        <v>41310.760803556041</v>
      </c>
    </row>
    <row r="41" spans="2:8" x14ac:dyDescent="0.3">
      <c r="B41" s="76" t="s">
        <v>326</v>
      </c>
      <c r="C41" s="49">
        <v>239710.45899999986</v>
      </c>
      <c r="D41" s="50">
        <v>49.02</v>
      </c>
      <c r="E41" s="49">
        <v>8814</v>
      </c>
      <c r="F41" s="56">
        <f t="shared" si="0"/>
        <v>0.38712729748127978</v>
      </c>
      <c r="G41" s="59">
        <f t="shared" si="1"/>
        <v>0.52168886388014557</v>
      </c>
      <c r="H41" s="60">
        <f t="shared" si="3"/>
        <v>125054.27701589814</v>
      </c>
    </row>
    <row r="42" spans="2:8" x14ac:dyDescent="0.3">
      <c r="B42" s="77" t="s">
        <v>18</v>
      </c>
      <c r="C42" s="44">
        <v>552699.28999999992</v>
      </c>
      <c r="D42" s="107"/>
      <c r="E42" s="44">
        <f>SUMPRODUCT(D43:D45,E43:E45)/SUM(D43:D45)</f>
        <v>10250.721407624633</v>
      </c>
      <c r="F42" s="51">
        <f>1/(E42/$C$13)</f>
        <v>0.33286827963756788</v>
      </c>
      <c r="G42" s="46">
        <f t="shared" si="1"/>
        <v>0.60672648117717065</v>
      </c>
      <c r="H42" s="101">
        <f>+G42*C42</f>
        <v>335337.29537082056</v>
      </c>
    </row>
    <row r="43" spans="2:8" x14ac:dyDescent="0.3">
      <c r="B43" s="76" t="s">
        <v>105</v>
      </c>
      <c r="C43" s="111"/>
      <c r="D43" s="50">
        <v>56</v>
      </c>
      <c r="E43" s="49">
        <v>10018</v>
      </c>
      <c r="F43" s="55">
        <f t="shared" si="0"/>
        <v>0.34060091834697548</v>
      </c>
      <c r="G43" s="59">
        <f t="shared" si="1"/>
        <v>0.59295201252000207</v>
      </c>
      <c r="H43" s="265"/>
    </row>
    <row r="44" spans="2:8" x14ac:dyDescent="0.3">
      <c r="B44" s="76" t="s">
        <v>106</v>
      </c>
      <c r="C44" s="269"/>
      <c r="D44" s="50">
        <v>56</v>
      </c>
      <c r="E44" s="49">
        <v>10821</v>
      </c>
      <c r="F44" s="55">
        <f t="shared" si="0"/>
        <v>0.31532575547546438</v>
      </c>
      <c r="G44" s="59">
        <f t="shared" si="1"/>
        <v>0.64048050783379351</v>
      </c>
      <c r="H44" s="71"/>
    </row>
    <row r="45" spans="2:8" x14ac:dyDescent="0.3">
      <c r="B45" s="76" t="s">
        <v>315</v>
      </c>
      <c r="C45" s="53"/>
      <c r="D45" s="50">
        <v>24.4</v>
      </c>
      <c r="E45" s="49">
        <v>9476</v>
      </c>
      <c r="F45" s="55">
        <f t="shared" si="0"/>
        <v>0.36008231321232587</v>
      </c>
      <c r="G45" s="59">
        <f t="shared" si="1"/>
        <v>0.56087175789973454</v>
      </c>
      <c r="H45" s="60">
        <f t="shared" ref="H45" si="4">+G45*C45</f>
        <v>0</v>
      </c>
    </row>
    <row r="46" spans="2:8" x14ac:dyDescent="0.3">
      <c r="B46" s="77" t="s">
        <v>23</v>
      </c>
      <c r="C46" s="44"/>
      <c r="D46" s="107"/>
      <c r="E46" s="44"/>
      <c r="F46" s="51"/>
      <c r="G46" s="46"/>
      <c r="H46" s="101">
        <f>+G46*C46</f>
        <v>0</v>
      </c>
    </row>
    <row r="47" spans="2:8" x14ac:dyDescent="0.3">
      <c r="B47" s="76" t="s">
        <v>107</v>
      </c>
      <c r="C47" s="53">
        <v>36192</v>
      </c>
      <c r="D47" s="50">
        <v>23</v>
      </c>
      <c r="E47" s="49">
        <v>10006</v>
      </c>
      <c r="F47" s="55">
        <f t="shared" si="0"/>
        <v>0.34100939436338196</v>
      </c>
      <c r="G47" s="59">
        <f t="shared" si="1"/>
        <v>0.59224174858007006</v>
      </c>
      <c r="H47" s="60">
        <f t="shared" ref="H47:H50" si="5">+G47*C47</f>
        <v>21434.413364609896</v>
      </c>
    </row>
    <row r="48" spans="2:8" x14ac:dyDescent="0.3">
      <c r="B48" s="76" t="s">
        <v>108</v>
      </c>
      <c r="C48" s="53">
        <v>52744</v>
      </c>
      <c r="D48" s="50">
        <v>23</v>
      </c>
      <c r="E48" s="49">
        <v>9997</v>
      </c>
      <c r="F48" s="55">
        <f t="shared" si="0"/>
        <v>0.34131639491847554</v>
      </c>
      <c r="G48" s="59">
        <f t="shared" si="1"/>
        <v>0.59170905062512091</v>
      </c>
      <c r="H48" s="60">
        <f t="shared" si="5"/>
        <v>31209.102166171378</v>
      </c>
    </row>
    <row r="49" spans="2:8" x14ac:dyDescent="0.3">
      <c r="B49" s="76" t="s">
        <v>109</v>
      </c>
      <c r="C49" s="53">
        <v>60409</v>
      </c>
      <c r="D49" s="50">
        <v>25</v>
      </c>
      <c r="E49" s="49">
        <v>9998</v>
      </c>
      <c r="F49" s="55">
        <f t="shared" si="0"/>
        <v>0.34128225645129023</v>
      </c>
      <c r="G49" s="59">
        <f t="shared" si="1"/>
        <v>0.59176823928678191</v>
      </c>
      <c r="H49" s="60">
        <f t="shared" si="5"/>
        <v>35748.127567075207</v>
      </c>
    </row>
    <row r="50" spans="2:8" x14ac:dyDescent="0.3">
      <c r="B50" s="76" t="s">
        <v>110</v>
      </c>
      <c r="C50" s="53">
        <v>46175</v>
      </c>
      <c r="D50" s="50">
        <v>25</v>
      </c>
      <c r="E50" s="49">
        <v>10087</v>
      </c>
      <c r="F50" s="55">
        <f t="shared" si="0"/>
        <v>0.33827104193516405</v>
      </c>
      <c r="G50" s="59">
        <f t="shared" si="1"/>
        <v>0.59703603017461182</v>
      </c>
      <c r="H50" s="60">
        <f t="shared" si="5"/>
        <v>27568.1386933127</v>
      </c>
    </row>
    <row r="51" spans="2:8" x14ac:dyDescent="0.3">
      <c r="B51" s="77" t="s">
        <v>16</v>
      </c>
      <c r="C51" s="61"/>
      <c r="D51" s="107"/>
      <c r="E51" s="44"/>
      <c r="F51" s="51"/>
      <c r="G51" s="46"/>
      <c r="H51" s="65">
        <f>+G51*C51</f>
        <v>0</v>
      </c>
    </row>
    <row r="52" spans="2:8" x14ac:dyDescent="0.3">
      <c r="B52" s="76" t="s">
        <v>78</v>
      </c>
      <c r="C52" s="49">
        <v>41459.700000000004</v>
      </c>
      <c r="D52" s="50">
        <v>22</v>
      </c>
      <c r="E52" s="49">
        <v>11971</v>
      </c>
      <c r="F52" s="55">
        <f t="shared" si="0"/>
        <v>0.2850338317600869</v>
      </c>
      <c r="G52" s="59">
        <f t="shared" si="1"/>
        <v>0.70854746874395536</v>
      </c>
      <c r="H52" s="60">
        <f t="shared" ref="H52:H59" si="6">+G52*C52</f>
        <v>29376.16548988377</v>
      </c>
    </row>
    <row r="53" spans="2:8" x14ac:dyDescent="0.3">
      <c r="B53" s="76" t="s">
        <v>79</v>
      </c>
      <c r="C53" s="49">
        <v>20603.039999999997</v>
      </c>
      <c r="D53" s="50">
        <v>20</v>
      </c>
      <c r="E53" s="49">
        <v>12595</v>
      </c>
      <c r="F53" s="55">
        <f t="shared" si="0"/>
        <v>0.27091226677252878</v>
      </c>
      <c r="G53" s="59">
        <f t="shared" si="1"/>
        <v>0.74548119362042586</v>
      </c>
      <c r="H53" s="60">
        <f t="shared" si="6"/>
        <v>15359.178851409377</v>
      </c>
    </row>
    <row r="54" spans="2:8" x14ac:dyDescent="0.3">
      <c r="B54" s="76" t="s">
        <v>80</v>
      </c>
      <c r="C54" s="49">
        <v>24144.995999999996</v>
      </c>
      <c r="D54" s="50">
        <v>20</v>
      </c>
      <c r="E54" s="49">
        <v>12834</v>
      </c>
      <c r="F54" s="55">
        <f t="shared" si="0"/>
        <v>0.26586722767648435</v>
      </c>
      <c r="G54" s="59">
        <f t="shared" si="1"/>
        <v>0.75962728375740729</v>
      </c>
      <c r="H54" s="60">
        <f t="shared" si="6"/>
        <v>18341.197727813462</v>
      </c>
    </row>
    <row r="55" spans="2:8" x14ac:dyDescent="0.3">
      <c r="B55" s="76" t="s">
        <v>81</v>
      </c>
      <c r="C55" s="49">
        <v>47740.184999999998</v>
      </c>
      <c r="D55" s="50">
        <v>21</v>
      </c>
      <c r="E55" s="49">
        <v>12644</v>
      </c>
      <c r="F55" s="56">
        <f t="shared" si="0"/>
        <v>0.26986238532110091</v>
      </c>
      <c r="G55" s="59">
        <f t="shared" si="1"/>
        <v>0.74838143804181545</v>
      </c>
      <c r="H55" s="60">
        <f t="shared" si="6"/>
        <v>35727.868302682306</v>
      </c>
    </row>
    <row r="56" spans="2:8" x14ac:dyDescent="0.3">
      <c r="B56" s="76" t="s">
        <v>82</v>
      </c>
      <c r="C56" s="49">
        <v>381288.42</v>
      </c>
      <c r="D56" s="50">
        <v>63</v>
      </c>
      <c r="E56" s="49">
        <v>10070</v>
      </c>
      <c r="F56" s="100">
        <f t="shared" si="0"/>
        <v>0.33884210526315789</v>
      </c>
      <c r="G56" s="102">
        <f t="shared" si="1"/>
        <v>0.59602982292637463</v>
      </c>
      <c r="H56" s="103">
        <f t="shared" si="6"/>
        <v>227259.26945647714</v>
      </c>
    </row>
    <row r="57" spans="2:8" x14ac:dyDescent="0.3">
      <c r="B57" s="76" t="s">
        <v>83</v>
      </c>
      <c r="C57" s="49">
        <v>365210.38799999998</v>
      </c>
      <c r="D57" s="50">
        <v>63</v>
      </c>
      <c r="E57" s="49">
        <v>10070</v>
      </c>
      <c r="F57" s="55">
        <f t="shared" si="0"/>
        <v>0.33884210526315789</v>
      </c>
      <c r="G57" s="59">
        <f t="shared" si="1"/>
        <v>0.59602982292637463</v>
      </c>
      <c r="H57" s="60">
        <f t="shared" si="6"/>
        <v>217676.28289051255</v>
      </c>
    </row>
    <row r="58" spans="2:8" x14ac:dyDescent="0.3">
      <c r="B58" s="76" t="s">
        <v>84</v>
      </c>
      <c r="C58" s="49">
        <v>149744.47925</v>
      </c>
      <c r="D58" s="50">
        <v>63</v>
      </c>
      <c r="E58" s="49">
        <v>10070</v>
      </c>
      <c r="F58" s="55">
        <f t="shared" si="0"/>
        <v>0.33884210526315789</v>
      </c>
      <c r="G58" s="59">
        <f t="shared" si="1"/>
        <v>0.59602982292637463</v>
      </c>
      <c r="H58" s="60">
        <f t="shared" si="6"/>
        <v>89252.175451579678</v>
      </c>
    </row>
    <row r="59" spans="2:8" x14ac:dyDescent="0.3">
      <c r="B59" s="76" t="s">
        <v>314</v>
      </c>
      <c r="C59" s="49">
        <v>361213.69200000004</v>
      </c>
      <c r="D59" s="50">
        <v>96</v>
      </c>
      <c r="E59" s="49">
        <v>7211</v>
      </c>
      <c r="F59" s="55">
        <f t="shared" si="0"/>
        <v>0.47318541117736784</v>
      </c>
      <c r="G59" s="59">
        <f t="shared" si="1"/>
        <v>0.426809439237546</v>
      </c>
      <c r="H59" s="60">
        <f t="shared" si="6"/>
        <v>154169.41332744368</v>
      </c>
    </row>
    <row r="60" spans="2:8" x14ac:dyDescent="0.3">
      <c r="B60" s="77" t="s">
        <v>21</v>
      </c>
      <c r="C60" s="61"/>
      <c r="D60" s="107"/>
      <c r="E60" s="44"/>
      <c r="F60" s="45"/>
      <c r="G60" s="46"/>
      <c r="H60" s="65">
        <f>+G60*C60</f>
        <v>0</v>
      </c>
    </row>
    <row r="61" spans="2:8" x14ac:dyDescent="0.3">
      <c r="B61" s="76" t="s">
        <v>100</v>
      </c>
      <c r="C61" s="49">
        <v>41016.303</v>
      </c>
      <c r="D61" s="50">
        <v>14</v>
      </c>
      <c r="E61" s="49">
        <v>11860</v>
      </c>
      <c r="F61" s="55">
        <f t="shared" si="0"/>
        <v>0.2877015177065767</v>
      </c>
      <c r="G61" s="59">
        <f t="shared" si="1"/>
        <v>0.70197752729958329</v>
      </c>
      <c r="H61" s="60">
        <f t="shared" ref="H61" si="7">+G61*C61</f>
        <v>28792.522958910478</v>
      </c>
    </row>
    <row r="62" spans="2:8" x14ac:dyDescent="0.3">
      <c r="B62" s="77" t="s">
        <v>22</v>
      </c>
      <c r="C62" s="61"/>
      <c r="D62" s="107"/>
      <c r="E62" s="44"/>
      <c r="F62" s="45"/>
      <c r="G62" s="46"/>
      <c r="H62" s="65">
        <f>+G62*C62</f>
        <v>0</v>
      </c>
    </row>
    <row r="63" spans="2:8" x14ac:dyDescent="0.3">
      <c r="B63" s="76" t="s">
        <v>111</v>
      </c>
      <c r="C63" s="49">
        <v>18.810000000000002</v>
      </c>
      <c r="D63" s="50">
        <v>9</v>
      </c>
      <c r="E63" s="49">
        <v>12074</v>
      </c>
      <c r="F63" s="55">
        <f t="shared" si="0"/>
        <v>0.28260228590359449</v>
      </c>
      <c r="G63" s="59">
        <f t="shared" si="1"/>
        <v>0.71464390089503949</v>
      </c>
      <c r="H63" s="60">
        <f t="shared" ref="H63:H64" si="8">+G63*C63</f>
        <v>13.442451775835695</v>
      </c>
    </row>
    <row r="64" spans="2:8" x14ac:dyDescent="0.3">
      <c r="B64" s="76" t="s">
        <v>112</v>
      </c>
      <c r="C64" s="49">
        <v>14455.24559</v>
      </c>
      <c r="D64" s="50">
        <v>9</v>
      </c>
      <c r="E64" s="49">
        <v>11982</v>
      </c>
      <c r="F64" s="55">
        <f t="shared" si="0"/>
        <v>0.28477215823735602</v>
      </c>
      <c r="G64" s="59">
        <f t="shared" si="1"/>
        <v>0.7091985440222266</v>
      </c>
      <c r="H64" s="60">
        <f t="shared" si="8"/>
        <v>10251.639125911712</v>
      </c>
    </row>
    <row r="65" spans="2:8" x14ac:dyDescent="0.3">
      <c r="B65" s="77" t="s">
        <v>17</v>
      </c>
      <c r="C65" s="61"/>
      <c r="D65" s="107"/>
      <c r="E65" s="44"/>
      <c r="F65" s="45"/>
      <c r="G65" s="46"/>
      <c r="H65" s="65">
        <f>+G65*C65</f>
        <v>0</v>
      </c>
    </row>
    <row r="66" spans="2:8" x14ac:dyDescent="0.3">
      <c r="B66" s="76" t="s">
        <v>85</v>
      </c>
      <c r="C66" s="49">
        <v>77133.690000000017</v>
      </c>
      <c r="D66" s="50">
        <v>22</v>
      </c>
      <c r="E66" s="49">
        <v>11850</v>
      </c>
      <c r="F66" s="55">
        <f t="shared" si="0"/>
        <v>0.28794430379746838</v>
      </c>
      <c r="G66" s="59">
        <f t="shared" si="1"/>
        <v>0.70138564068297304</v>
      </c>
      <c r="H66" s="60">
        <f t="shared" ref="H66:H67" si="9">+G66*C66</f>
        <v>54100.462578891842</v>
      </c>
    </row>
    <row r="67" spans="2:8" x14ac:dyDescent="0.3">
      <c r="B67" s="76" t="s">
        <v>86</v>
      </c>
      <c r="C67" s="49">
        <v>64466.459999999992</v>
      </c>
      <c r="D67" s="50">
        <v>22</v>
      </c>
      <c r="E67" s="49">
        <v>11672</v>
      </c>
      <c r="F67" s="55">
        <f t="shared" si="0"/>
        <v>0.29233550376970524</v>
      </c>
      <c r="G67" s="59">
        <f t="shared" si="1"/>
        <v>0.69085005890731344</v>
      </c>
      <c r="H67" s="60">
        <f t="shared" si="9"/>
        <v>44536.657688545958</v>
      </c>
    </row>
    <row r="68" spans="2:8" x14ac:dyDescent="0.3">
      <c r="B68" s="77" t="s">
        <v>24</v>
      </c>
      <c r="C68" s="61"/>
      <c r="D68" s="107"/>
      <c r="E68" s="44"/>
      <c r="F68" s="45"/>
      <c r="G68" s="46"/>
      <c r="H68" s="65">
        <f>+G68*C68</f>
        <v>0</v>
      </c>
    </row>
    <row r="69" spans="2:8" x14ac:dyDescent="0.3">
      <c r="B69" s="76" t="s">
        <v>327</v>
      </c>
      <c r="C69" s="49">
        <v>321801.02243377001</v>
      </c>
      <c r="D69" s="270">
        <v>43.83</v>
      </c>
      <c r="E69" s="49">
        <v>9348</v>
      </c>
      <c r="F69" s="55">
        <f t="shared" si="0"/>
        <v>0.36501283697047499</v>
      </c>
      <c r="G69" s="59">
        <f t="shared" si="1"/>
        <v>0.55329560920712517</v>
      </c>
      <c r="H69" s="60">
        <f t="shared" ref="H69:H72" si="10">+G69*C69</f>
        <v>178051.09275096853</v>
      </c>
    </row>
    <row r="70" spans="2:8" x14ac:dyDescent="0.3">
      <c r="B70" s="76" t="s">
        <v>328</v>
      </c>
      <c r="C70" s="49">
        <v>283832.34028472006</v>
      </c>
      <c r="D70" s="270">
        <v>43.31</v>
      </c>
      <c r="E70" s="49">
        <v>9394</v>
      </c>
      <c r="F70" s="55">
        <f t="shared" si="0"/>
        <v>0.36322546306152864</v>
      </c>
      <c r="G70" s="59">
        <f t="shared" si="1"/>
        <v>0.55601828764353167</v>
      </c>
      <c r="H70" s="60">
        <f t="shared" si="10"/>
        <v>157815.97182296624</v>
      </c>
    </row>
    <row r="71" spans="2:8" x14ac:dyDescent="0.3">
      <c r="B71" s="76" t="s">
        <v>329</v>
      </c>
      <c r="C71" s="49">
        <v>326287.42484508501</v>
      </c>
      <c r="D71" s="270">
        <v>44.16</v>
      </c>
      <c r="E71" s="49">
        <v>9304</v>
      </c>
      <c r="F71" s="55">
        <f t="shared" si="0"/>
        <v>0.36673903697334481</v>
      </c>
      <c r="G71" s="59">
        <f t="shared" si="1"/>
        <v>0.55069130809404065</v>
      </c>
      <c r="H71" s="60">
        <f t="shared" si="10"/>
        <v>179683.64880257586</v>
      </c>
    </row>
    <row r="72" spans="2:8" x14ac:dyDescent="0.3">
      <c r="B72" s="76" t="s">
        <v>330</v>
      </c>
      <c r="C72" s="49">
        <v>335050.79283362499</v>
      </c>
      <c r="D72" s="270">
        <v>44.06</v>
      </c>
      <c r="E72" s="49">
        <v>9298</v>
      </c>
      <c r="F72" s="56">
        <f t="shared" si="0"/>
        <v>0.36697569369756933</v>
      </c>
      <c r="G72" s="59">
        <f t="shared" si="1"/>
        <v>0.55033617612407471</v>
      </c>
      <c r="H72" s="60">
        <f t="shared" si="10"/>
        <v>184390.57213539671</v>
      </c>
    </row>
    <row r="73" spans="2:8" x14ac:dyDescent="0.3">
      <c r="B73" s="77" t="s">
        <v>45</v>
      </c>
      <c r="C73" s="44">
        <v>498992.92799999996</v>
      </c>
      <c r="D73" s="107"/>
      <c r="E73" s="44">
        <f>SUMPRODUCT(D74:D81,E74:E81)/SUM(D74:D81)</f>
        <v>11851.545797598628</v>
      </c>
      <c r="F73" s="51">
        <f t="shared" si="0"/>
        <v>0.28790674721025594</v>
      </c>
      <c r="G73" s="46">
        <f t="shared" si="1"/>
        <v>0.70147713437403492</v>
      </c>
      <c r="H73" s="101">
        <f>+G73*C73</f>
        <v>350032.12920634908</v>
      </c>
    </row>
    <row r="74" spans="2:8" x14ac:dyDescent="0.3">
      <c r="B74" s="76" t="s">
        <v>101</v>
      </c>
      <c r="C74" s="111"/>
      <c r="D74" s="50">
        <v>18.52</v>
      </c>
      <c r="E74" s="49">
        <v>13046</v>
      </c>
      <c r="F74" s="55">
        <f t="shared" si="0"/>
        <v>0.26154683427870612</v>
      </c>
      <c r="G74" s="59">
        <f t="shared" si="1"/>
        <v>0.77217528002954161</v>
      </c>
      <c r="H74" s="60">
        <f t="shared" ref="H74:H81" si="11">+G74*C74</f>
        <v>0</v>
      </c>
    </row>
    <row r="75" spans="2:8" x14ac:dyDescent="0.3">
      <c r="B75" s="76" t="s">
        <v>102</v>
      </c>
      <c r="C75" s="269"/>
      <c r="D75" s="50">
        <v>18.809999999999999</v>
      </c>
      <c r="E75" s="49">
        <v>11755</v>
      </c>
      <c r="F75" s="55">
        <f t="shared" si="0"/>
        <v>0.29027137388345386</v>
      </c>
      <c r="G75" s="59">
        <f t="shared" si="1"/>
        <v>0.69576271782517718</v>
      </c>
      <c r="H75" s="60">
        <f t="shared" si="11"/>
        <v>0</v>
      </c>
    </row>
    <row r="76" spans="2:8" x14ac:dyDescent="0.3">
      <c r="B76" s="76" t="s">
        <v>103</v>
      </c>
      <c r="C76" s="269"/>
      <c r="D76" s="50">
        <v>18.32</v>
      </c>
      <c r="E76" s="49">
        <v>12379</v>
      </c>
      <c r="F76" s="55">
        <f t="shared" si="0"/>
        <v>0.27563938928831083</v>
      </c>
      <c r="G76" s="59">
        <f t="shared" si="1"/>
        <v>0.73269644270164769</v>
      </c>
      <c r="H76" s="60">
        <f t="shared" si="11"/>
        <v>0</v>
      </c>
    </row>
    <row r="77" spans="2:8" x14ac:dyDescent="0.3">
      <c r="B77" s="76" t="s">
        <v>104</v>
      </c>
      <c r="C77" s="269"/>
      <c r="D77" s="50">
        <v>18.63</v>
      </c>
      <c r="E77" s="49">
        <v>13011</v>
      </c>
      <c r="F77" s="56">
        <f t="shared" si="0"/>
        <v>0.26225040350472678</v>
      </c>
      <c r="G77" s="59">
        <f t="shared" si="1"/>
        <v>0.77010367687140613</v>
      </c>
      <c r="H77" s="60">
        <f t="shared" si="11"/>
        <v>0</v>
      </c>
    </row>
    <row r="78" spans="2:8" x14ac:dyDescent="0.3">
      <c r="B78" s="76" t="s">
        <v>319</v>
      </c>
      <c r="C78" s="269"/>
      <c r="D78" s="50">
        <v>10.58</v>
      </c>
      <c r="E78" s="49">
        <v>10575</v>
      </c>
      <c r="F78" s="56">
        <f t="shared" si="0"/>
        <v>0.32266099290780142</v>
      </c>
      <c r="G78" s="59">
        <f t="shared" si="1"/>
        <v>0.62592009706518492</v>
      </c>
      <c r="H78" s="60">
        <f t="shared" si="11"/>
        <v>0</v>
      </c>
    </row>
    <row r="79" spans="2:8" x14ac:dyDescent="0.3">
      <c r="B79" s="76" t="s">
        <v>320</v>
      </c>
      <c r="C79" s="269"/>
      <c r="D79" s="50">
        <v>10.58</v>
      </c>
      <c r="E79" s="49">
        <v>10625</v>
      </c>
      <c r="F79" s="56">
        <f t="shared" si="0"/>
        <v>0.32114258823529407</v>
      </c>
      <c r="G79" s="59">
        <f t="shared" si="1"/>
        <v>0.6288795301482355</v>
      </c>
      <c r="H79" s="60">
        <f t="shared" si="11"/>
        <v>0</v>
      </c>
    </row>
    <row r="80" spans="2:8" x14ac:dyDescent="0.3">
      <c r="B80" s="76" t="s">
        <v>321</v>
      </c>
      <c r="C80" s="269"/>
      <c r="D80" s="50">
        <v>10.58</v>
      </c>
      <c r="E80" s="49">
        <v>10662</v>
      </c>
      <c r="F80" s="56">
        <f t="shared" si="0"/>
        <v>0.32002813731007312</v>
      </c>
      <c r="G80" s="59">
        <f t="shared" si="1"/>
        <v>0.63106951062969285</v>
      </c>
      <c r="H80" s="60">
        <f t="shared" si="11"/>
        <v>0</v>
      </c>
    </row>
    <row r="81" spans="2:8" x14ac:dyDescent="0.3">
      <c r="B81" s="76" t="s">
        <v>322</v>
      </c>
      <c r="C81" s="53"/>
      <c r="D81" s="50">
        <v>10.58</v>
      </c>
      <c r="E81" s="49">
        <v>10670</v>
      </c>
      <c r="F81" s="56">
        <f t="shared" si="0"/>
        <v>0.31978819119025303</v>
      </c>
      <c r="G81" s="59">
        <f t="shared" si="1"/>
        <v>0.6315430199229809</v>
      </c>
      <c r="H81" s="60">
        <f t="shared" si="11"/>
        <v>0</v>
      </c>
    </row>
    <row r="82" spans="2:8" x14ac:dyDescent="0.3">
      <c r="B82" s="77" t="s">
        <v>25</v>
      </c>
      <c r="C82" s="61"/>
      <c r="D82" s="107"/>
      <c r="E82" s="44"/>
      <c r="F82" s="51"/>
      <c r="G82" s="46"/>
      <c r="H82" s="65">
        <f>+G82*C82</f>
        <v>0</v>
      </c>
    </row>
    <row r="83" spans="2:8" x14ac:dyDescent="0.3">
      <c r="B83" s="76" t="s">
        <v>333</v>
      </c>
      <c r="C83" s="49">
        <v>341340.33600000001</v>
      </c>
      <c r="D83" s="50">
        <v>44.58</v>
      </c>
      <c r="E83" s="49">
        <v>9039</v>
      </c>
      <c r="F83" s="55">
        <f t="shared" si="0"/>
        <v>0.3774908728841686</v>
      </c>
      <c r="G83" s="59">
        <f t="shared" si="1"/>
        <v>0.53500631275387289</v>
      </c>
      <c r="H83" s="60">
        <f t="shared" ref="H83:H87" si="12">+G83*C83</f>
        <v>182619.23455752808</v>
      </c>
    </row>
    <row r="84" spans="2:8" x14ac:dyDescent="0.3">
      <c r="B84" s="76" t="s">
        <v>334</v>
      </c>
      <c r="C84" s="49">
        <v>232234.96000000008</v>
      </c>
      <c r="D84" s="50">
        <v>44</v>
      </c>
      <c r="E84" s="49">
        <v>9124</v>
      </c>
      <c r="F84" s="55">
        <f t="shared" si="0"/>
        <v>0.37397413415168784</v>
      </c>
      <c r="G84" s="59">
        <f t="shared" si="1"/>
        <v>0.54003734899505884</v>
      </c>
      <c r="H84" s="60">
        <f t="shared" si="12"/>
        <v>125415.55214237358</v>
      </c>
    </row>
    <row r="85" spans="2:8" x14ac:dyDescent="0.3">
      <c r="B85" s="76" t="s">
        <v>335</v>
      </c>
      <c r="C85" s="49">
        <v>332215.63199999998</v>
      </c>
      <c r="D85" s="50">
        <v>44.33</v>
      </c>
      <c r="E85" s="49">
        <v>9122</v>
      </c>
      <c r="F85" s="55">
        <f t="shared" si="0"/>
        <v>0.37405612804209604</v>
      </c>
      <c r="G85" s="59">
        <f t="shared" si="1"/>
        <v>0.53991897167173675</v>
      </c>
      <c r="H85" s="60">
        <f t="shared" si="12"/>
        <v>179369.5224027161</v>
      </c>
    </row>
    <row r="86" spans="2:8" x14ac:dyDescent="0.3">
      <c r="B86" s="76" t="s">
        <v>336</v>
      </c>
      <c r="C86" s="49">
        <v>319457.85599999991</v>
      </c>
      <c r="D86" s="50">
        <v>44.55</v>
      </c>
      <c r="E86" s="49">
        <v>9134</v>
      </c>
      <c r="F86" s="56">
        <f t="shared" si="0"/>
        <v>0.37356470330632802</v>
      </c>
      <c r="G86" s="59">
        <f t="shared" si="1"/>
        <v>0.54062923561166887</v>
      </c>
      <c r="H86" s="60">
        <f t="shared" si="12"/>
        <v>172708.25649942254</v>
      </c>
    </row>
    <row r="87" spans="2:8" x14ac:dyDescent="0.3">
      <c r="B87" s="76" t="s">
        <v>337</v>
      </c>
      <c r="C87" s="49">
        <v>332882.23199999996</v>
      </c>
      <c r="D87" s="50">
        <v>44</v>
      </c>
      <c r="E87" s="49">
        <v>9145</v>
      </c>
      <c r="F87" s="56">
        <f t="shared" ref="F87" si="13">1/(E87/$C$13)</f>
        <v>0.37311536358665937</v>
      </c>
      <c r="G87" s="102">
        <f t="shared" ref="G87" si="14">+$C$14*$C$15/F87</f>
        <v>0.54128031088994011</v>
      </c>
      <c r="H87" s="103">
        <f t="shared" si="12"/>
        <v>180182.59802669715</v>
      </c>
    </row>
    <row r="88" spans="2:8" x14ac:dyDescent="0.3">
      <c r="B88" s="113"/>
      <c r="C88" s="30"/>
      <c r="D88" s="213"/>
      <c r="E88" s="30"/>
      <c r="F88" s="41"/>
      <c r="G88" s="35"/>
      <c r="H88" s="208"/>
    </row>
    <row r="89" spans="2:8" ht="28.8" x14ac:dyDescent="0.3">
      <c r="B89" s="84" t="s">
        <v>164</v>
      </c>
      <c r="C89" s="79" t="s">
        <v>197</v>
      </c>
      <c r="D89" s="79" t="s">
        <v>455</v>
      </c>
      <c r="E89" s="99"/>
      <c r="F89" s="4"/>
      <c r="G89" s="99"/>
      <c r="H89" s="9"/>
    </row>
    <row r="90" spans="2:8" x14ac:dyDescent="0.3">
      <c r="B90" s="82" t="s">
        <v>0</v>
      </c>
      <c r="C90" s="83">
        <f>SUM(C91:C159)</f>
        <v>2229863.9013999989</v>
      </c>
      <c r="D90" s="83">
        <f>SUM(D91:D159)</f>
        <v>609.87000000000012</v>
      </c>
      <c r="E90" s="31"/>
      <c r="F90" s="9"/>
      <c r="G90" s="31"/>
      <c r="H90" s="9"/>
    </row>
    <row r="91" spans="2:8" x14ac:dyDescent="0.3">
      <c r="B91" s="57" t="s">
        <v>26</v>
      </c>
      <c r="C91" s="78"/>
      <c r="D91" s="78"/>
      <c r="E91" s="30"/>
      <c r="F91" s="4"/>
      <c r="G91" s="30"/>
      <c r="H91" s="9"/>
    </row>
    <row r="92" spans="2:8" x14ac:dyDescent="0.3">
      <c r="B92" s="47" t="s">
        <v>142</v>
      </c>
      <c r="C92" s="49">
        <v>7068.2120000000004</v>
      </c>
      <c r="D92" s="410">
        <v>2.2200000000000002</v>
      </c>
      <c r="E92" s="30"/>
      <c r="F92" s="4"/>
      <c r="G92" s="30"/>
      <c r="H92" s="9"/>
    </row>
    <row r="93" spans="2:8" x14ac:dyDescent="0.3">
      <c r="B93" s="47" t="s">
        <v>143</v>
      </c>
      <c r="C93" s="49">
        <v>3531.5559999999991</v>
      </c>
      <c r="D93" s="410">
        <v>1.27</v>
      </c>
      <c r="E93" s="30"/>
      <c r="F93" s="4"/>
      <c r="G93" s="30"/>
      <c r="H93" s="9"/>
    </row>
    <row r="94" spans="2:8" x14ac:dyDescent="0.3">
      <c r="B94" s="47" t="s">
        <v>144</v>
      </c>
      <c r="C94" s="49">
        <v>6833.0870000000014</v>
      </c>
      <c r="D94" s="410">
        <v>2.74</v>
      </c>
      <c r="E94" s="30"/>
      <c r="F94" s="4"/>
      <c r="G94" s="30"/>
      <c r="H94" s="9"/>
    </row>
    <row r="95" spans="2:8" x14ac:dyDescent="0.3">
      <c r="B95" s="57" t="s">
        <v>27</v>
      </c>
      <c r="C95" s="78"/>
      <c r="D95" s="78"/>
      <c r="E95" s="30"/>
      <c r="F95" s="4"/>
      <c r="G95" s="30"/>
      <c r="H95" s="9"/>
    </row>
    <row r="96" spans="2:8" x14ac:dyDescent="0.3">
      <c r="B96" s="47" t="s">
        <v>125</v>
      </c>
      <c r="C96" s="49">
        <v>8563.4409999999989</v>
      </c>
      <c r="D96" s="410">
        <v>1.9</v>
      </c>
      <c r="E96" s="30"/>
      <c r="F96" s="4"/>
      <c r="G96" s="30"/>
      <c r="H96" s="9"/>
    </row>
    <row r="97" spans="2:8" x14ac:dyDescent="0.3">
      <c r="B97" s="47" t="s">
        <v>126</v>
      </c>
      <c r="C97" s="49">
        <v>6239.6179999999995</v>
      </c>
      <c r="D97" s="410">
        <v>1.47</v>
      </c>
      <c r="E97" s="30"/>
      <c r="F97" s="4"/>
      <c r="G97" s="30"/>
      <c r="H97" s="9"/>
    </row>
    <row r="98" spans="2:8" x14ac:dyDescent="0.3">
      <c r="B98" s="47" t="s">
        <v>127</v>
      </c>
      <c r="C98" s="49">
        <v>20402.677000000003</v>
      </c>
      <c r="D98" s="410">
        <v>3.44</v>
      </c>
      <c r="E98" s="30"/>
      <c r="F98" s="4"/>
      <c r="G98" s="30"/>
      <c r="H98" s="9"/>
    </row>
    <row r="99" spans="2:8" x14ac:dyDescent="0.3">
      <c r="B99" s="57" t="s">
        <v>28</v>
      </c>
      <c r="C99" s="78"/>
      <c r="D99" s="78"/>
      <c r="E99" s="30"/>
      <c r="F99" s="4"/>
      <c r="G99" s="30"/>
      <c r="H99" s="9"/>
    </row>
    <row r="100" spans="2:8" x14ac:dyDescent="0.3">
      <c r="B100" s="47" t="s">
        <v>156</v>
      </c>
      <c r="C100" s="49">
        <v>85854.238000000012</v>
      </c>
      <c r="D100" s="410">
        <v>13.65</v>
      </c>
      <c r="E100" s="30"/>
      <c r="F100" s="4"/>
      <c r="G100" s="30"/>
      <c r="H100" s="9"/>
    </row>
    <row r="101" spans="2:8" x14ac:dyDescent="0.3">
      <c r="B101" s="47" t="s">
        <v>157</v>
      </c>
      <c r="C101" s="49">
        <v>83617.593000000008</v>
      </c>
      <c r="D101" s="410">
        <v>14.36</v>
      </c>
      <c r="E101" s="30"/>
      <c r="F101" s="4"/>
      <c r="G101" s="30"/>
      <c r="H101" s="9"/>
    </row>
    <row r="102" spans="2:8" x14ac:dyDescent="0.3">
      <c r="B102" s="57" t="s">
        <v>32</v>
      </c>
      <c r="C102" s="78"/>
      <c r="D102" s="78"/>
      <c r="E102" s="30"/>
      <c r="F102" s="4"/>
      <c r="G102" s="30"/>
      <c r="H102" s="9"/>
    </row>
    <row r="103" spans="2:8" x14ac:dyDescent="0.3">
      <c r="B103" s="47" t="s">
        <v>148</v>
      </c>
      <c r="C103" s="49">
        <v>41074.044999999998</v>
      </c>
      <c r="D103" s="410">
        <v>6.13</v>
      </c>
      <c r="E103" s="30"/>
      <c r="F103" s="4"/>
      <c r="G103" s="30"/>
      <c r="H103" s="9"/>
    </row>
    <row r="104" spans="2:8" x14ac:dyDescent="0.3">
      <c r="B104" s="57" t="s">
        <v>29</v>
      </c>
      <c r="C104" s="78"/>
      <c r="D104" s="78"/>
      <c r="E104" s="30"/>
      <c r="F104" s="4"/>
      <c r="G104" s="30"/>
      <c r="H104" s="9"/>
    </row>
    <row r="105" spans="2:8" x14ac:dyDescent="0.3">
      <c r="B105" s="47" t="s">
        <v>149</v>
      </c>
      <c r="C105" s="49">
        <v>0</v>
      </c>
      <c r="D105" s="410"/>
      <c r="E105" s="30"/>
      <c r="F105" s="4"/>
      <c r="G105" s="30"/>
      <c r="H105" s="9"/>
    </row>
    <row r="106" spans="2:8" x14ac:dyDescent="0.3">
      <c r="B106" s="47" t="s">
        <v>173</v>
      </c>
      <c r="C106" s="49">
        <v>127227.77000000002</v>
      </c>
      <c r="D106" s="410">
        <v>38.4</v>
      </c>
      <c r="E106" s="30"/>
      <c r="F106" s="4"/>
      <c r="G106" s="30"/>
      <c r="H106" s="9"/>
    </row>
    <row r="107" spans="2:8" x14ac:dyDescent="0.3">
      <c r="B107" s="57" t="s">
        <v>30</v>
      </c>
      <c r="C107" s="78"/>
      <c r="D107" s="78"/>
      <c r="E107" s="30"/>
      <c r="F107" s="4"/>
      <c r="G107" s="30"/>
      <c r="H107" s="9"/>
    </row>
    <row r="108" spans="2:8" x14ac:dyDescent="0.3">
      <c r="B108" s="47" t="s">
        <v>145</v>
      </c>
      <c r="C108" s="49">
        <v>10812.361999999999</v>
      </c>
      <c r="D108" s="410">
        <v>1.91</v>
      </c>
      <c r="E108" s="30"/>
      <c r="F108" s="4"/>
      <c r="G108" s="30"/>
      <c r="H108" s="9"/>
    </row>
    <row r="109" spans="2:8" x14ac:dyDescent="0.3">
      <c r="B109" s="47" t="s">
        <v>146</v>
      </c>
      <c r="C109" s="49">
        <v>13785.387999999999</v>
      </c>
      <c r="D109" s="410">
        <v>2.4500000000000002</v>
      </c>
      <c r="E109" s="30"/>
      <c r="F109" s="4"/>
      <c r="G109" s="30"/>
      <c r="H109" s="9"/>
    </row>
    <row r="110" spans="2:8" x14ac:dyDescent="0.3">
      <c r="B110" s="47" t="s">
        <v>147</v>
      </c>
      <c r="C110" s="49">
        <v>10677.777000000002</v>
      </c>
      <c r="D110" s="410">
        <v>1.84</v>
      </c>
      <c r="E110" s="30"/>
      <c r="F110" s="4"/>
      <c r="G110" s="30"/>
      <c r="H110" s="9"/>
    </row>
    <row r="111" spans="2:8" x14ac:dyDescent="0.3">
      <c r="B111" s="57" t="s">
        <v>31</v>
      </c>
      <c r="C111" s="78"/>
      <c r="D111" s="78"/>
      <c r="E111" s="30"/>
      <c r="F111" s="4"/>
      <c r="G111" s="30"/>
      <c r="H111" s="9"/>
    </row>
    <row r="112" spans="2:8" x14ac:dyDescent="0.3">
      <c r="B112" s="47" t="s">
        <v>136</v>
      </c>
      <c r="C112" s="49">
        <v>68171.011999999988</v>
      </c>
      <c r="D112" s="410">
        <v>13.18</v>
      </c>
      <c r="E112" s="30"/>
      <c r="F112" s="4"/>
      <c r="G112" s="30"/>
      <c r="H112" s="9"/>
    </row>
    <row r="113" spans="2:8" x14ac:dyDescent="0.3">
      <c r="B113" s="47" t="s">
        <v>137</v>
      </c>
      <c r="C113" s="49">
        <v>66329.928</v>
      </c>
      <c r="D113" s="410">
        <v>12.21</v>
      </c>
      <c r="E113" s="30"/>
      <c r="F113" s="4"/>
      <c r="G113" s="30"/>
      <c r="H113" s="9"/>
    </row>
    <row r="114" spans="2:8" x14ac:dyDescent="0.3">
      <c r="B114" s="57" t="s">
        <v>3</v>
      </c>
      <c r="C114" s="78"/>
      <c r="D114" s="78"/>
      <c r="E114" s="30"/>
      <c r="F114" s="4"/>
      <c r="G114" s="30"/>
      <c r="H114" s="9"/>
    </row>
    <row r="115" spans="2:8" x14ac:dyDescent="0.3">
      <c r="B115" s="47" t="s">
        <v>121</v>
      </c>
      <c r="C115" s="49">
        <v>284284.71100000001</v>
      </c>
      <c r="D115" s="410">
        <v>64.319999999999993</v>
      </c>
      <c r="E115" s="30"/>
      <c r="F115" s="4"/>
      <c r="G115" s="30"/>
      <c r="H115" s="9"/>
    </row>
    <row r="116" spans="2:8" x14ac:dyDescent="0.3">
      <c r="B116" s="57" t="s">
        <v>33</v>
      </c>
      <c r="C116" s="78"/>
      <c r="D116" s="78"/>
      <c r="E116" s="30"/>
      <c r="F116" s="4"/>
      <c r="G116" s="30"/>
      <c r="H116" s="9"/>
    </row>
    <row r="117" spans="2:8" x14ac:dyDescent="0.3">
      <c r="B117" s="47" t="s">
        <v>128</v>
      </c>
      <c r="C117" s="49">
        <v>9498.8819999999996</v>
      </c>
      <c r="D117" s="410">
        <v>2.5</v>
      </c>
      <c r="E117" s="30"/>
      <c r="F117" s="4"/>
      <c r="G117" s="30"/>
      <c r="H117" s="9"/>
    </row>
    <row r="118" spans="2:8" x14ac:dyDescent="0.3">
      <c r="B118" s="47" t="s">
        <v>129</v>
      </c>
      <c r="C118" s="49">
        <v>9023.6689999999999</v>
      </c>
      <c r="D118" s="410">
        <v>2.38</v>
      </c>
      <c r="E118" s="30"/>
      <c r="F118" s="4"/>
      <c r="G118" s="30"/>
      <c r="H118" s="9"/>
    </row>
    <row r="119" spans="2:8" x14ac:dyDescent="0.3">
      <c r="B119" s="47" t="s">
        <v>130</v>
      </c>
      <c r="C119" s="49">
        <v>8865.5539999999983</v>
      </c>
      <c r="D119" s="410">
        <v>2.2999999999999998</v>
      </c>
      <c r="E119" s="30"/>
      <c r="F119" s="4"/>
      <c r="G119" s="30"/>
      <c r="H119" s="9"/>
    </row>
    <row r="120" spans="2:8" x14ac:dyDescent="0.3">
      <c r="B120" s="47" t="s">
        <v>131</v>
      </c>
      <c r="C120" s="49">
        <v>4531.527000000001</v>
      </c>
      <c r="D120" s="410">
        <v>1.49</v>
      </c>
      <c r="E120" s="30"/>
      <c r="F120" s="4"/>
      <c r="G120" s="30"/>
      <c r="H120" s="9"/>
    </row>
    <row r="121" spans="2:8" x14ac:dyDescent="0.3">
      <c r="B121" s="47" t="s">
        <v>132</v>
      </c>
      <c r="C121" s="49">
        <v>96164.228000000003</v>
      </c>
      <c r="D121" s="410">
        <v>14.3</v>
      </c>
      <c r="E121" s="30"/>
      <c r="F121" s="4"/>
      <c r="G121" s="30"/>
      <c r="H121" s="9"/>
    </row>
    <row r="122" spans="2:8" x14ac:dyDescent="0.3">
      <c r="B122" s="57" t="s">
        <v>34</v>
      </c>
      <c r="C122" s="78"/>
      <c r="D122" s="78"/>
      <c r="E122" s="30"/>
      <c r="F122" s="4"/>
      <c r="G122" s="30"/>
      <c r="H122" s="9"/>
    </row>
    <row r="123" spans="2:8" x14ac:dyDescent="0.3">
      <c r="B123" s="47" t="s">
        <v>138</v>
      </c>
      <c r="C123" s="49">
        <v>79535.85500000001</v>
      </c>
      <c r="D123" s="410">
        <v>13.53</v>
      </c>
      <c r="E123" s="30"/>
      <c r="F123" s="4"/>
      <c r="G123" s="30"/>
      <c r="H123" s="9"/>
    </row>
    <row r="124" spans="2:8" x14ac:dyDescent="0.3">
      <c r="B124" s="47" t="s">
        <v>139</v>
      </c>
      <c r="C124" s="49">
        <v>81530.162000000011</v>
      </c>
      <c r="D124" s="410">
        <v>12.3</v>
      </c>
      <c r="E124" s="30"/>
      <c r="F124" s="4"/>
      <c r="G124" s="30"/>
      <c r="H124" s="9"/>
    </row>
    <row r="125" spans="2:8" x14ac:dyDescent="0.3">
      <c r="B125" s="57" t="s">
        <v>35</v>
      </c>
      <c r="C125" s="78"/>
      <c r="D125" s="78"/>
      <c r="E125" s="30"/>
      <c r="F125" s="4"/>
      <c r="G125" s="30"/>
      <c r="H125" s="9"/>
    </row>
    <row r="126" spans="2:8" x14ac:dyDescent="0.3">
      <c r="B126" s="47" t="s">
        <v>158</v>
      </c>
      <c r="C126" s="49">
        <v>91011.156999999992</v>
      </c>
      <c r="D126" s="410">
        <v>15.1</v>
      </c>
      <c r="E126" s="30"/>
      <c r="F126" s="4"/>
      <c r="G126" s="30"/>
      <c r="H126" s="9"/>
    </row>
    <row r="127" spans="2:8" x14ac:dyDescent="0.3">
      <c r="B127" s="47" t="s">
        <v>159</v>
      </c>
      <c r="C127" s="49">
        <v>99447.379000000015</v>
      </c>
      <c r="D127" s="410">
        <v>15.05</v>
      </c>
      <c r="E127" s="30"/>
      <c r="F127" s="4"/>
      <c r="G127" s="30"/>
      <c r="H127" s="9"/>
    </row>
    <row r="128" spans="2:8" x14ac:dyDescent="0.3">
      <c r="B128" s="57" t="s">
        <v>4</v>
      </c>
      <c r="C128" s="78"/>
      <c r="D128" s="78"/>
      <c r="E128" s="30"/>
      <c r="F128" s="4"/>
      <c r="G128" s="30"/>
      <c r="H128" s="9"/>
    </row>
    <row r="129" spans="2:8" x14ac:dyDescent="0.3">
      <c r="B129" s="47" t="s">
        <v>151</v>
      </c>
      <c r="C129" s="49">
        <v>10963.130000000001</v>
      </c>
      <c r="D129" s="410">
        <v>7.54</v>
      </c>
      <c r="E129" s="30"/>
      <c r="F129" s="4"/>
      <c r="G129" s="30"/>
      <c r="H129" s="9"/>
    </row>
    <row r="130" spans="2:8" x14ac:dyDescent="0.3">
      <c r="B130" s="57" t="s">
        <v>36</v>
      </c>
      <c r="C130" s="78"/>
      <c r="D130" s="78"/>
      <c r="E130" s="30"/>
      <c r="F130" s="4"/>
      <c r="G130" s="30"/>
      <c r="H130" s="9"/>
    </row>
    <row r="131" spans="2:8" x14ac:dyDescent="0.3">
      <c r="B131" s="47" t="s">
        <v>152</v>
      </c>
      <c r="C131" s="49">
        <v>31306.786999999997</v>
      </c>
      <c r="D131" s="410">
        <v>11.49</v>
      </c>
      <c r="E131" s="30"/>
      <c r="F131" s="4"/>
      <c r="G131" s="30"/>
      <c r="H131" s="9"/>
    </row>
    <row r="132" spans="2:8" x14ac:dyDescent="0.3">
      <c r="B132" s="57" t="s">
        <v>37</v>
      </c>
      <c r="C132" s="78"/>
      <c r="D132" s="78"/>
      <c r="E132" s="30"/>
      <c r="F132" s="4"/>
      <c r="G132" s="30"/>
      <c r="H132" s="9"/>
    </row>
    <row r="133" spans="2:8" x14ac:dyDescent="0.3">
      <c r="B133" s="47" t="s">
        <v>153</v>
      </c>
      <c r="C133" s="49">
        <v>14473.441999999999</v>
      </c>
      <c r="D133" s="410">
        <v>5.15</v>
      </c>
      <c r="E133" s="30"/>
      <c r="F133" s="4"/>
      <c r="G133" s="30"/>
      <c r="H133" s="9"/>
    </row>
    <row r="134" spans="2:8" x14ac:dyDescent="0.3">
      <c r="B134" s="57" t="s">
        <v>38</v>
      </c>
      <c r="C134" s="78"/>
      <c r="D134" s="78"/>
      <c r="E134" s="30"/>
      <c r="F134" s="4"/>
      <c r="G134" s="30"/>
      <c r="H134" s="9"/>
    </row>
    <row r="135" spans="2:8" x14ac:dyDescent="0.3">
      <c r="B135" s="47" t="s">
        <v>140</v>
      </c>
      <c r="C135" s="49">
        <v>4191.5759999999991</v>
      </c>
      <c r="D135" s="410">
        <v>1.31</v>
      </c>
      <c r="E135" s="30"/>
      <c r="F135" s="4"/>
      <c r="G135" s="30"/>
      <c r="H135" s="9"/>
    </row>
    <row r="136" spans="2:8" x14ac:dyDescent="0.3">
      <c r="B136" s="47" t="s">
        <v>141</v>
      </c>
      <c r="C136" s="49">
        <v>4038.616</v>
      </c>
      <c r="D136" s="410">
        <v>1.24</v>
      </c>
      <c r="E136" s="30"/>
      <c r="F136" s="4"/>
      <c r="G136" s="30"/>
      <c r="H136" s="9"/>
    </row>
    <row r="137" spans="2:8" x14ac:dyDescent="0.3">
      <c r="B137" s="57" t="s">
        <v>7</v>
      </c>
      <c r="C137" s="78"/>
      <c r="D137" s="78"/>
      <c r="E137" s="30"/>
      <c r="F137" s="4"/>
      <c r="G137" s="30"/>
      <c r="H137" s="9"/>
    </row>
    <row r="138" spans="2:8" x14ac:dyDescent="0.3">
      <c r="B138" s="47" t="s">
        <v>342</v>
      </c>
      <c r="C138" s="49">
        <v>11172.225999999999</v>
      </c>
      <c r="D138" s="410">
        <v>120</v>
      </c>
      <c r="E138" s="30"/>
      <c r="F138" s="4"/>
      <c r="G138" s="30"/>
      <c r="H138" s="9"/>
    </row>
    <row r="139" spans="2:8" x14ac:dyDescent="0.3">
      <c r="B139" s="57" t="s">
        <v>39</v>
      </c>
      <c r="C139" s="78"/>
      <c r="D139" s="78"/>
      <c r="E139" s="30"/>
      <c r="F139" s="4"/>
      <c r="G139" s="30"/>
      <c r="H139" s="9"/>
    </row>
    <row r="140" spans="2:8" x14ac:dyDescent="0.3">
      <c r="B140" s="47" t="s">
        <v>154</v>
      </c>
      <c r="C140" s="49">
        <v>15005.555</v>
      </c>
      <c r="D140" s="410">
        <v>2.4</v>
      </c>
      <c r="E140" s="30"/>
      <c r="F140" s="4"/>
      <c r="G140" s="30"/>
      <c r="H140" s="9"/>
    </row>
    <row r="141" spans="2:8" x14ac:dyDescent="0.3">
      <c r="B141" s="57" t="s">
        <v>5</v>
      </c>
      <c r="C141" s="78"/>
      <c r="D141" s="78"/>
      <c r="E141" s="30"/>
      <c r="F141" s="4"/>
      <c r="G141" s="30"/>
      <c r="H141" s="9"/>
    </row>
    <row r="142" spans="2:8" x14ac:dyDescent="0.3">
      <c r="B142" s="47" t="s">
        <v>338</v>
      </c>
      <c r="C142" s="49">
        <v>3547</v>
      </c>
      <c r="D142" s="410">
        <v>0.98</v>
      </c>
      <c r="E142" s="30"/>
      <c r="F142" s="4"/>
      <c r="G142" s="30"/>
      <c r="H142" s="9"/>
    </row>
    <row r="143" spans="2:8" x14ac:dyDescent="0.3">
      <c r="B143" s="47" t="s">
        <v>339</v>
      </c>
      <c r="C143" s="49">
        <v>3707.2000000000003</v>
      </c>
      <c r="D143" s="410">
        <v>0.98</v>
      </c>
      <c r="E143" s="30"/>
      <c r="F143" s="4"/>
      <c r="G143" s="30"/>
      <c r="H143" s="9"/>
    </row>
    <row r="144" spans="2:8" x14ac:dyDescent="0.3">
      <c r="B144" s="57" t="s">
        <v>40</v>
      </c>
      <c r="C144" s="78"/>
      <c r="D144" s="78"/>
      <c r="E144" s="30"/>
      <c r="F144" s="4"/>
      <c r="G144" s="30"/>
      <c r="H144" s="9"/>
    </row>
    <row r="145" spans="2:8" x14ac:dyDescent="0.3">
      <c r="B145" s="47" t="s">
        <v>135</v>
      </c>
      <c r="C145" s="49">
        <v>69211.264999999999</v>
      </c>
      <c r="D145" s="410">
        <v>10.5</v>
      </c>
      <c r="E145" s="30"/>
      <c r="F145" s="4"/>
      <c r="G145" s="30"/>
      <c r="H145" s="9"/>
    </row>
    <row r="146" spans="2:8" x14ac:dyDescent="0.3">
      <c r="B146" s="57" t="s">
        <v>6</v>
      </c>
      <c r="C146" s="78"/>
      <c r="D146" s="78"/>
      <c r="E146" s="30"/>
      <c r="F146" s="4"/>
      <c r="G146" s="30"/>
      <c r="H146" s="9"/>
    </row>
    <row r="147" spans="2:8" x14ac:dyDescent="0.3">
      <c r="B147" s="47" t="s">
        <v>331</v>
      </c>
      <c r="C147" s="49">
        <v>9940.8974000000035</v>
      </c>
      <c r="D147" s="410">
        <v>3.8</v>
      </c>
      <c r="E147" s="30"/>
      <c r="F147" s="4"/>
      <c r="G147" s="30"/>
      <c r="H147" s="9"/>
    </row>
    <row r="148" spans="2:8" x14ac:dyDescent="0.3">
      <c r="B148" s="47" t="s">
        <v>332</v>
      </c>
      <c r="C148" s="49">
        <v>10262.133000000002</v>
      </c>
      <c r="D148" s="410">
        <v>3.8</v>
      </c>
      <c r="E148" s="30"/>
      <c r="F148" s="4"/>
      <c r="G148" s="30"/>
      <c r="H148" s="9"/>
    </row>
    <row r="149" spans="2:8" x14ac:dyDescent="0.3">
      <c r="B149" s="57" t="s">
        <v>2</v>
      </c>
      <c r="C149" s="78"/>
      <c r="D149" s="78"/>
      <c r="E149" s="30"/>
      <c r="F149" s="4"/>
      <c r="G149" s="30"/>
      <c r="H149" s="9"/>
    </row>
    <row r="150" spans="2:8" x14ac:dyDescent="0.3">
      <c r="B150" s="47" t="s">
        <v>122</v>
      </c>
      <c r="C150" s="49">
        <v>431404.26799999998</v>
      </c>
      <c r="D150" s="410">
        <v>91.1</v>
      </c>
      <c r="E150" s="30"/>
      <c r="F150" s="4"/>
      <c r="G150" s="30"/>
      <c r="H150" s="9"/>
    </row>
    <row r="151" spans="2:8" x14ac:dyDescent="0.3">
      <c r="B151" s="57" t="s">
        <v>42</v>
      </c>
      <c r="C151" s="78"/>
      <c r="D151" s="78"/>
      <c r="E151" s="30"/>
      <c r="F151" s="4"/>
      <c r="G151" s="30"/>
      <c r="H151" s="9"/>
    </row>
    <row r="152" spans="2:8" x14ac:dyDescent="0.3">
      <c r="B152" s="47" t="s">
        <v>133</v>
      </c>
      <c r="C152" s="49">
        <v>38544.047999999995</v>
      </c>
      <c r="D152" s="410">
        <v>6.9</v>
      </c>
      <c r="E152" s="30"/>
      <c r="F152" s="4"/>
      <c r="G152" s="30"/>
      <c r="H152" s="9"/>
    </row>
    <row r="153" spans="2:8" x14ac:dyDescent="0.3">
      <c r="B153" s="47" t="s">
        <v>134</v>
      </c>
      <c r="C153" s="49">
        <v>47225.397999999994</v>
      </c>
      <c r="D153" s="410">
        <v>10.69</v>
      </c>
      <c r="E153" s="30"/>
      <c r="F153" s="4"/>
      <c r="G153" s="30"/>
      <c r="H153" s="9"/>
    </row>
    <row r="154" spans="2:8" x14ac:dyDescent="0.3">
      <c r="B154" s="57" t="s">
        <v>43</v>
      </c>
      <c r="C154" s="78"/>
      <c r="D154" s="78"/>
      <c r="E154" s="30"/>
      <c r="F154" s="4"/>
      <c r="G154" s="30"/>
      <c r="H154" s="9"/>
    </row>
    <row r="155" spans="2:8" x14ac:dyDescent="0.3">
      <c r="B155" s="47" t="s">
        <v>124</v>
      </c>
      <c r="C155" s="49">
        <v>11241.978999999999</v>
      </c>
      <c r="D155" s="410">
        <v>9.7200000000000006</v>
      </c>
      <c r="E155" s="30"/>
      <c r="F155" s="4"/>
      <c r="G155" s="30"/>
      <c r="H155" s="9"/>
    </row>
    <row r="156" spans="2:8" x14ac:dyDescent="0.3">
      <c r="B156" s="57" t="s">
        <v>46</v>
      </c>
      <c r="C156" s="78"/>
      <c r="D156" s="78"/>
      <c r="E156" s="30"/>
      <c r="F156" s="4"/>
      <c r="G156" s="30"/>
      <c r="H156" s="9"/>
    </row>
    <row r="157" spans="2:8" x14ac:dyDescent="0.3">
      <c r="B157" s="47" t="s">
        <v>150</v>
      </c>
      <c r="C157" s="49">
        <v>179334.13099999996</v>
      </c>
      <c r="D157" s="410">
        <v>50.79</v>
      </c>
      <c r="E157" s="30"/>
      <c r="F157" s="4"/>
      <c r="G157" s="30"/>
      <c r="H157" s="9"/>
    </row>
    <row r="158" spans="2:8" x14ac:dyDescent="0.3">
      <c r="B158" s="57" t="s">
        <v>1</v>
      </c>
      <c r="C158" s="78"/>
      <c r="D158" s="78"/>
      <c r="E158" s="30"/>
      <c r="F158" s="4"/>
      <c r="G158" s="30"/>
      <c r="H158" s="9"/>
    </row>
    <row r="159" spans="2:8" x14ac:dyDescent="0.3">
      <c r="B159" s="47" t="s">
        <v>123</v>
      </c>
      <c r="C159" s="49">
        <v>10212.421999999999</v>
      </c>
      <c r="D159" s="410">
        <v>11.04</v>
      </c>
      <c r="E159" s="30"/>
      <c r="F159" s="4"/>
      <c r="G159" s="30"/>
      <c r="H159" s="9"/>
    </row>
    <row r="160" spans="2:8" x14ac:dyDescent="0.3">
      <c r="F160" s="9"/>
    </row>
    <row r="161" spans="2:6" ht="28.8" x14ac:dyDescent="0.3">
      <c r="B161" s="84" t="s">
        <v>164</v>
      </c>
      <c r="C161" s="79" t="s">
        <v>165</v>
      </c>
      <c r="D161" s="79" t="s">
        <v>455</v>
      </c>
      <c r="E161" s="99"/>
      <c r="F161" s="4"/>
    </row>
    <row r="162" spans="2:6" x14ac:dyDescent="0.3">
      <c r="B162" s="7" t="s">
        <v>12</v>
      </c>
      <c r="C162" s="85">
        <f>+SUM(C163:C167)</f>
        <v>44047.566999999995</v>
      </c>
      <c r="D162" s="85">
        <f>SUM(D164:D167)</f>
        <v>40.57</v>
      </c>
      <c r="E162" s="31"/>
      <c r="F162" s="14"/>
    </row>
    <row r="163" spans="2:6" x14ac:dyDescent="0.3">
      <c r="B163" s="57" t="s">
        <v>13</v>
      </c>
      <c r="C163" s="78"/>
      <c r="D163" s="78"/>
      <c r="E163" s="30"/>
      <c r="F163" s="4"/>
    </row>
    <row r="164" spans="2:6" x14ac:dyDescent="0.3">
      <c r="B164" s="47" t="s">
        <v>191</v>
      </c>
      <c r="C164" s="49">
        <v>29748</v>
      </c>
      <c r="D164" s="410">
        <v>21</v>
      </c>
    </row>
    <row r="165" spans="2:6" x14ac:dyDescent="0.3">
      <c r="B165" s="47" t="s">
        <v>346</v>
      </c>
      <c r="C165" s="49">
        <v>3137</v>
      </c>
      <c r="D165" s="410">
        <v>5</v>
      </c>
    </row>
    <row r="166" spans="2:6" x14ac:dyDescent="0.3">
      <c r="B166" s="57" t="s">
        <v>17</v>
      </c>
      <c r="C166" s="78"/>
      <c r="D166" s="78"/>
    </row>
    <row r="167" spans="2:6" x14ac:dyDescent="0.3">
      <c r="B167" s="47" t="s">
        <v>325</v>
      </c>
      <c r="C167" s="49">
        <v>11162.566999999999</v>
      </c>
      <c r="D167" s="410">
        <v>14.57</v>
      </c>
    </row>
    <row r="169" spans="2:6" ht="28.8" x14ac:dyDescent="0.3">
      <c r="B169" s="84" t="s">
        <v>164</v>
      </c>
      <c r="C169" s="79" t="s">
        <v>165</v>
      </c>
      <c r="D169" s="79" t="s">
        <v>455</v>
      </c>
    </row>
    <row r="170" spans="2:6" x14ac:dyDescent="0.3">
      <c r="B170" s="7" t="s">
        <v>8</v>
      </c>
      <c r="C170" s="85">
        <f>+SUM(C171:C173)</f>
        <v>60383.278999999995</v>
      </c>
      <c r="D170" s="85">
        <f>SUM(D171:D173)</f>
        <v>27</v>
      </c>
    </row>
    <row r="171" spans="2:6" x14ac:dyDescent="0.3">
      <c r="B171" s="57" t="s">
        <v>9</v>
      </c>
      <c r="C171" s="78"/>
      <c r="D171" s="78">
        <v>27</v>
      </c>
    </row>
    <row r="172" spans="2:6" x14ac:dyDescent="0.3">
      <c r="B172" s="47" t="s">
        <v>340</v>
      </c>
      <c r="C172" s="49">
        <v>12488.579</v>
      </c>
      <c r="D172" s="410"/>
    </row>
    <row r="173" spans="2:6" x14ac:dyDescent="0.3">
      <c r="B173" s="47" t="s">
        <v>341</v>
      </c>
      <c r="C173" s="49">
        <v>47894.7</v>
      </c>
      <c r="D173" s="410"/>
    </row>
    <row r="175" spans="2:6" ht="28.8" x14ac:dyDescent="0.3">
      <c r="B175" s="84" t="s">
        <v>164</v>
      </c>
      <c r="C175" s="79" t="s">
        <v>165</v>
      </c>
      <c r="D175" s="79" t="s">
        <v>455</v>
      </c>
      <c r="E175" s="410"/>
    </row>
    <row r="176" spans="2:6" x14ac:dyDescent="0.3">
      <c r="B176" s="7" t="s">
        <v>10</v>
      </c>
      <c r="C176" s="85">
        <f>+SUM(C177:C178)</f>
        <v>1065.63625</v>
      </c>
      <c r="D176" s="85">
        <f>SUM(D177:D178)</f>
        <v>5</v>
      </c>
    </row>
    <row r="177" spans="2:4" x14ac:dyDescent="0.3">
      <c r="B177" s="57" t="s">
        <v>343</v>
      </c>
      <c r="C177" s="78"/>
      <c r="D177" s="78"/>
    </row>
    <row r="178" spans="2:4" x14ac:dyDescent="0.3">
      <c r="B178" s="47" t="s">
        <v>344</v>
      </c>
      <c r="C178" s="49">
        <v>1065.63625</v>
      </c>
      <c r="D178" s="410">
        <v>5</v>
      </c>
    </row>
  </sheetData>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J171"/>
  <sheetViews>
    <sheetView zoomScaleNormal="100" workbookViewId="0"/>
  </sheetViews>
  <sheetFormatPr baseColWidth="10" defaultColWidth="9.109375" defaultRowHeight="14.4" x14ac:dyDescent="0.3"/>
  <cols>
    <col min="1" max="1" width="9.109375" style="1"/>
    <col min="2" max="2" width="39.88671875" style="1" customWidth="1"/>
    <col min="3" max="3" width="11.109375" style="1" bestFit="1" customWidth="1"/>
    <col min="4" max="5" width="11.109375" style="1" customWidth="1"/>
    <col min="6" max="6" width="14.44140625" style="1" customWidth="1"/>
    <col min="7" max="7" width="15.33203125" style="1" customWidth="1"/>
    <col min="8" max="8" width="16.88671875" style="1" customWidth="1"/>
    <col min="9" max="16384" width="9.109375" style="1"/>
  </cols>
  <sheetData>
    <row r="3" spans="2:10" ht="23.4" x14ac:dyDescent="0.45">
      <c r="B3" s="286" t="s">
        <v>356</v>
      </c>
      <c r="D3" s="286">
        <v>2016</v>
      </c>
    </row>
    <row r="4" spans="2:10" x14ac:dyDescent="0.3">
      <c r="G4" s="9"/>
      <c r="H4" s="9"/>
      <c r="I4" s="9"/>
      <c r="J4" s="9"/>
    </row>
    <row r="5" spans="2:10" x14ac:dyDescent="0.3">
      <c r="G5" s="9"/>
      <c r="H5" s="9"/>
      <c r="I5" s="9"/>
      <c r="J5" s="9"/>
    </row>
    <row r="6" spans="2:10" x14ac:dyDescent="0.3">
      <c r="B6" s="86" t="s">
        <v>160</v>
      </c>
      <c r="C6" s="87">
        <f>+C7+C9</f>
        <v>8669522.2586782202</v>
      </c>
      <c r="D6" s="32"/>
      <c r="E6" s="32"/>
      <c r="F6" s="32"/>
      <c r="G6" s="32"/>
      <c r="H6" s="9"/>
      <c r="I6" s="9"/>
      <c r="J6" s="9"/>
    </row>
    <row r="7" spans="2:10" x14ac:dyDescent="0.3">
      <c r="B7" s="88" t="s">
        <v>161</v>
      </c>
      <c r="C7" s="90">
        <f>+C91+C161+C168</f>
        <v>1811708.9550000003</v>
      </c>
      <c r="D7" s="98"/>
      <c r="E7" s="98"/>
      <c r="F7" s="98"/>
      <c r="G7" s="32"/>
      <c r="H7" s="9"/>
      <c r="I7" s="9"/>
      <c r="J7" s="9"/>
    </row>
    <row r="8" spans="2:10" x14ac:dyDescent="0.3">
      <c r="B8" s="88" t="s">
        <v>76</v>
      </c>
      <c r="C8" s="91">
        <f>+C7/C6</f>
        <v>0.20897448566862767</v>
      </c>
      <c r="D8" s="94"/>
      <c r="E8" s="94"/>
      <c r="F8" s="94"/>
      <c r="G8" s="32"/>
      <c r="H8" s="9"/>
      <c r="I8" s="9"/>
      <c r="J8" s="9"/>
    </row>
    <row r="9" spans="2:10" x14ac:dyDescent="0.3">
      <c r="B9" s="88" t="s">
        <v>162</v>
      </c>
      <c r="C9" s="90">
        <f>+C23</f>
        <v>6857813.3036782192</v>
      </c>
      <c r="D9" s="98"/>
      <c r="E9" s="98"/>
      <c r="F9" s="98"/>
      <c r="G9" s="32"/>
      <c r="H9" s="9"/>
      <c r="I9" s="9"/>
      <c r="J9" s="9"/>
    </row>
    <row r="10" spans="2:10" x14ac:dyDescent="0.3">
      <c r="B10" s="89" t="s">
        <v>77</v>
      </c>
      <c r="C10" s="92">
        <f>+C9/C6</f>
        <v>0.79102551433137225</v>
      </c>
      <c r="D10" s="94"/>
      <c r="E10" s="94"/>
      <c r="F10" s="94"/>
      <c r="G10" s="33"/>
      <c r="H10" s="9"/>
      <c r="I10" s="9"/>
      <c r="J10" s="9"/>
    </row>
    <row r="11" spans="2:10" x14ac:dyDescent="0.3">
      <c r="B11" s="93"/>
      <c r="C11" s="94"/>
      <c r="D11" s="94"/>
      <c r="E11" s="94"/>
      <c r="F11" s="94"/>
      <c r="G11" s="33"/>
      <c r="H11" s="9"/>
      <c r="I11" s="9"/>
      <c r="J11" s="9"/>
    </row>
    <row r="12" spans="2:10" x14ac:dyDescent="0.3">
      <c r="B12" s="86" t="s">
        <v>273</v>
      </c>
      <c r="C12" s="174"/>
      <c r="D12" s="94"/>
      <c r="E12" s="94"/>
      <c r="F12" s="94"/>
      <c r="G12" s="33"/>
      <c r="H12" s="9"/>
      <c r="I12" s="9"/>
      <c r="J12" s="9"/>
    </row>
    <row r="13" spans="2:10" x14ac:dyDescent="0.3">
      <c r="B13" s="178" t="s">
        <v>115</v>
      </c>
      <c r="C13" s="175">
        <v>3412.14</v>
      </c>
      <c r="D13" s="94"/>
      <c r="E13" s="94"/>
      <c r="F13" s="94"/>
      <c r="G13" s="33"/>
      <c r="H13" s="9"/>
      <c r="I13" s="9"/>
      <c r="J13" s="9"/>
    </row>
    <row r="14" spans="2:10" ht="18.75" customHeight="1" x14ac:dyDescent="0.3">
      <c r="B14" s="178" t="s">
        <v>272</v>
      </c>
      <c r="C14" s="176">
        <v>5.6099999999999997E-2</v>
      </c>
      <c r="D14" s="94"/>
      <c r="E14" s="94"/>
      <c r="F14" s="94"/>
      <c r="G14" s="33"/>
      <c r="H14" s="9"/>
      <c r="I14" s="9"/>
      <c r="J14" s="9"/>
    </row>
    <row r="15" spans="2:10" ht="14.25" customHeight="1" x14ac:dyDescent="0.3">
      <c r="B15" s="179" t="s">
        <v>116</v>
      </c>
      <c r="C15" s="177">
        <v>3.6</v>
      </c>
      <c r="D15" s="94"/>
      <c r="E15" s="94"/>
      <c r="F15" s="94"/>
      <c r="G15" s="33"/>
      <c r="H15" s="9"/>
      <c r="I15" s="9"/>
      <c r="J15" s="9"/>
    </row>
    <row r="16" spans="2:10" ht="15" thickBot="1" x14ac:dyDescent="0.35">
      <c r="B16" s="93"/>
      <c r="C16" s="94"/>
      <c r="D16" s="94"/>
      <c r="E16" s="94"/>
      <c r="F16" s="94"/>
      <c r="G16" s="33"/>
      <c r="H16" s="9"/>
      <c r="I16" s="9"/>
      <c r="J16" s="9"/>
    </row>
    <row r="17" spans="2:10" ht="16.2" thickBot="1" x14ac:dyDescent="0.4">
      <c r="B17" s="96" t="s">
        <v>171</v>
      </c>
      <c r="C17" s="97">
        <f>+H23/C6</f>
        <v>0.46455989911712259</v>
      </c>
      <c r="D17" s="95"/>
      <c r="E17" s="95"/>
      <c r="F17" s="95"/>
      <c r="G17" s="33"/>
      <c r="H17" s="9"/>
      <c r="I17" s="9"/>
      <c r="J17" s="9"/>
    </row>
    <row r="18" spans="2:10" ht="15" thickBot="1" x14ac:dyDescent="0.35">
      <c r="B18" s="93"/>
      <c r="C18" s="95"/>
      <c r="D18" s="95"/>
      <c r="E18" s="95"/>
      <c r="F18" s="95"/>
      <c r="G18" s="33"/>
      <c r="H18" s="9"/>
      <c r="I18" s="9"/>
      <c r="J18" s="9"/>
    </row>
    <row r="19" spans="2:10" ht="16.2" thickBot="1" x14ac:dyDescent="0.4">
      <c r="B19" s="96" t="s">
        <v>171</v>
      </c>
      <c r="C19" s="97">
        <f>+H23/C9</f>
        <v>0.58728813508600886</v>
      </c>
      <c r="D19" s="95"/>
      <c r="E19" s="95"/>
      <c r="F19" s="95"/>
      <c r="G19" s="33"/>
      <c r="H19" s="9"/>
      <c r="I19" s="9"/>
      <c r="J19" s="9"/>
    </row>
    <row r="20" spans="2:10" x14ac:dyDescent="0.3">
      <c r="B20" s="93"/>
      <c r="C20" s="95"/>
      <c r="D20" s="95"/>
      <c r="E20" s="95"/>
      <c r="F20" s="95"/>
      <c r="G20" s="33"/>
      <c r="H20" s="9"/>
      <c r="I20" s="9"/>
      <c r="J20" s="9"/>
    </row>
    <row r="21" spans="2:10" x14ac:dyDescent="0.3">
      <c r="B21" s="93"/>
      <c r="C21" s="95"/>
      <c r="D21" s="95"/>
      <c r="E21" s="95"/>
      <c r="F21" s="95"/>
      <c r="G21" s="33"/>
      <c r="H21" s="9"/>
      <c r="I21" s="9"/>
      <c r="J21" s="9"/>
    </row>
    <row r="22" spans="2:10" ht="33" customHeight="1" x14ac:dyDescent="0.35">
      <c r="B22" s="81" t="s">
        <v>163</v>
      </c>
      <c r="C22" s="79" t="s">
        <v>197</v>
      </c>
      <c r="D22" s="79" t="s">
        <v>168</v>
      </c>
      <c r="E22" s="79" t="s">
        <v>169</v>
      </c>
      <c r="F22" s="79" t="s">
        <v>170</v>
      </c>
      <c r="G22" s="79" t="s">
        <v>209</v>
      </c>
      <c r="H22" s="80" t="s">
        <v>208</v>
      </c>
    </row>
    <row r="23" spans="2:10" x14ac:dyDescent="0.3">
      <c r="B23" s="16" t="s">
        <v>15</v>
      </c>
      <c r="C23" s="58">
        <f>SUM(C24:C88)</f>
        <v>6857813.3036782192</v>
      </c>
      <c r="D23" s="58"/>
      <c r="E23" s="58"/>
      <c r="F23" s="58"/>
      <c r="G23" s="17"/>
      <c r="H23" s="74">
        <f>SUM(H24:H88)</f>
        <v>4027512.3858852028</v>
      </c>
    </row>
    <row r="24" spans="2:10" x14ac:dyDescent="0.3">
      <c r="B24" s="75" t="s">
        <v>317</v>
      </c>
      <c r="C24" s="61"/>
      <c r="D24" s="106">
        <f>+SUM(D25)</f>
        <v>17.5</v>
      </c>
      <c r="E24" s="54">
        <f>+E25</f>
        <v>9242</v>
      </c>
      <c r="F24" s="51">
        <f t="shared" ref="F24:F87" si="0">1/(E24/$C$13)</f>
        <v>0.36919930750919711</v>
      </c>
      <c r="G24" s="46">
        <f t="shared" ref="G24:G87" si="1">+$C$14*$C$15/F24</f>
        <v>0.54702161107105807</v>
      </c>
      <c r="H24" s="65">
        <f>+G24*C24</f>
        <v>0</v>
      </c>
    </row>
    <row r="25" spans="2:10" x14ac:dyDescent="0.3">
      <c r="B25" s="76" t="s">
        <v>318</v>
      </c>
      <c r="C25" s="49">
        <v>100635.927</v>
      </c>
      <c r="D25" s="50">
        <v>17.5</v>
      </c>
      <c r="E25" s="49">
        <v>9242</v>
      </c>
      <c r="F25" s="55">
        <f>1/(E25/$C$13)</f>
        <v>0.36919930750919711</v>
      </c>
      <c r="G25" s="59">
        <f>+$C$14*$C$15/F25</f>
        <v>0.54702161107105807</v>
      </c>
      <c r="H25" s="60">
        <f>+G25*C25</f>
        <v>55050.026919169388</v>
      </c>
    </row>
    <row r="26" spans="2:10" x14ac:dyDescent="0.3">
      <c r="B26" s="76" t="s">
        <v>324</v>
      </c>
      <c r="C26" s="49">
        <v>213864.51399999997</v>
      </c>
      <c r="D26" s="50">
        <v>32.4</v>
      </c>
      <c r="E26" s="49">
        <v>8039</v>
      </c>
      <c r="F26" s="55">
        <f>1/(E26/$C$13)</f>
        <v>0.42444831446697345</v>
      </c>
      <c r="G26" s="59">
        <f>+$C$14*$C$15/F26</f>
        <v>0.47581765109286261</v>
      </c>
      <c r="H26" s="60">
        <f>+G26*C26</f>
        <v>101760.51070359662</v>
      </c>
    </row>
    <row r="27" spans="2:10" x14ac:dyDescent="0.3">
      <c r="B27" s="75" t="s">
        <v>19</v>
      </c>
      <c r="C27" s="61"/>
      <c r="D27" s="106">
        <f>+SUM(D28:D38)</f>
        <v>41</v>
      </c>
      <c r="E27" s="54">
        <f>SUMPRODUCT(D28:D38,E28:E38)/D27</f>
        <v>10376.951219512195</v>
      </c>
      <c r="F27" s="51">
        <f t="shared" si="0"/>
        <v>0.32881912305649247</v>
      </c>
      <c r="G27" s="46">
        <f t="shared" si="1"/>
        <v>0.6141978548045165</v>
      </c>
      <c r="H27" s="65">
        <f>+G27*C27</f>
        <v>0</v>
      </c>
    </row>
    <row r="28" spans="2:10" x14ac:dyDescent="0.3">
      <c r="B28" s="76" t="s">
        <v>87</v>
      </c>
      <c r="C28" s="49">
        <v>2065.3987464399997</v>
      </c>
      <c r="D28" s="50">
        <v>3</v>
      </c>
      <c r="E28" s="49">
        <v>10201</v>
      </c>
      <c r="F28" s="55">
        <f>1/(E28/$C$13)</f>
        <v>0.33449073620233311</v>
      </c>
      <c r="G28" s="59">
        <f>+$C$14*$C$15/F28</f>
        <v>0.60378353760396697</v>
      </c>
      <c r="H28" s="60">
        <f>+G28*C28</f>
        <v>1247.0537616883419</v>
      </c>
    </row>
    <row r="29" spans="2:10" x14ac:dyDescent="0.3">
      <c r="B29" s="76" t="s">
        <v>88</v>
      </c>
      <c r="C29" s="49">
        <v>2494.435346064</v>
      </c>
      <c r="D29" s="50">
        <v>3</v>
      </c>
      <c r="E29" s="49">
        <v>10201</v>
      </c>
      <c r="F29" s="55">
        <f t="shared" si="0"/>
        <v>0.33449073620233311</v>
      </c>
      <c r="G29" s="59">
        <f t="shared" si="1"/>
        <v>0.60378353760396697</v>
      </c>
      <c r="H29" s="60">
        <f t="shared" ref="H29:H38" si="2">+G29*C29</f>
        <v>1506.0989975708974</v>
      </c>
    </row>
    <row r="30" spans="2:10" x14ac:dyDescent="0.3">
      <c r="B30" s="76" t="s">
        <v>89</v>
      </c>
      <c r="C30" s="49">
        <v>3046.8119999999999</v>
      </c>
      <c r="D30" s="50">
        <v>3</v>
      </c>
      <c r="E30" s="49">
        <v>10201</v>
      </c>
      <c r="F30" s="55">
        <f t="shared" si="0"/>
        <v>0.33449073620233311</v>
      </c>
      <c r="G30" s="59">
        <f t="shared" si="1"/>
        <v>0.60378353760396697</v>
      </c>
      <c r="H30" s="60">
        <f t="shared" si="2"/>
        <v>1839.6149277742177</v>
      </c>
    </row>
    <row r="31" spans="2:10" x14ac:dyDescent="0.3">
      <c r="B31" s="76" t="s">
        <v>92</v>
      </c>
      <c r="C31" s="49">
        <v>101154.24000000002</v>
      </c>
      <c r="D31" s="50">
        <v>18</v>
      </c>
      <c r="E31" s="49">
        <v>11497</v>
      </c>
      <c r="F31" s="55">
        <f t="shared" si="0"/>
        <v>0.29678524832565017</v>
      </c>
      <c r="G31" s="59">
        <f t="shared" si="1"/>
        <v>0.68049204311663647</v>
      </c>
      <c r="H31" s="60">
        <f t="shared" si="2"/>
        <v>68834.65544751061</v>
      </c>
    </row>
    <row r="32" spans="2:10" x14ac:dyDescent="0.3">
      <c r="B32" s="76" t="s">
        <v>93</v>
      </c>
      <c r="C32" s="49">
        <v>10825.283039999975</v>
      </c>
      <c r="D32" s="50">
        <v>2</v>
      </c>
      <c r="E32" s="49">
        <v>9050</v>
      </c>
      <c r="F32" s="55">
        <f t="shared" si="0"/>
        <v>0.37703204419889497</v>
      </c>
      <c r="G32" s="59">
        <f t="shared" si="1"/>
        <v>0.53565738803214413</v>
      </c>
      <c r="H32" s="60">
        <f t="shared" si="2"/>
        <v>5798.6428379150557</v>
      </c>
    </row>
    <row r="33" spans="2:8" x14ac:dyDescent="0.3">
      <c r="B33" s="76" t="s">
        <v>94</v>
      </c>
      <c r="C33" s="49">
        <v>0</v>
      </c>
      <c r="D33" s="50">
        <v>2</v>
      </c>
      <c r="E33" s="49">
        <v>9050</v>
      </c>
      <c r="F33" s="55">
        <f t="shared" si="0"/>
        <v>0.37703204419889497</v>
      </c>
      <c r="G33" s="59">
        <f t="shared" si="1"/>
        <v>0.53565738803214413</v>
      </c>
      <c r="H33" s="60">
        <f t="shared" si="2"/>
        <v>0</v>
      </c>
    </row>
    <row r="34" spans="2:8" x14ac:dyDescent="0.3">
      <c r="B34" s="76" t="s">
        <v>95</v>
      </c>
      <c r="C34" s="49">
        <v>10874.30593000001</v>
      </c>
      <c r="D34" s="50">
        <v>2</v>
      </c>
      <c r="E34" s="49">
        <v>9050</v>
      </c>
      <c r="F34" s="55">
        <f t="shared" si="0"/>
        <v>0.37703204419889497</v>
      </c>
      <c r="G34" s="59">
        <f t="shared" si="1"/>
        <v>0.53565738803214413</v>
      </c>
      <c r="H34" s="60">
        <f t="shared" si="2"/>
        <v>5824.9023111262613</v>
      </c>
    </row>
    <row r="35" spans="2:8" x14ac:dyDescent="0.3">
      <c r="B35" s="76" t="s">
        <v>96</v>
      </c>
      <c r="C35" s="49">
        <v>0</v>
      </c>
      <c r="D35" s="50">
        <v>2</v>
      </c>
      <c r="E35" s="49">
        <v>9050</v>
      </c>
      <c r="F35" s="55">
        <f t="shared" si="0"/>
        <v>0.37703204419889497</v>
      </c>
      <c r="G35" s="59">
        <f t="shared" si="1"/>
        <v>0.53565738803214413</v>
      </c>
      <c r="H35" s="60">
        <f t="shared" si="2"/>
        <v>0</v>
      </c>
    </row>
    <row r="36" spans="2:8" x14ac:dyDescent="0.3">
      <c r="B36" s="76" t="s">
        <v>97</v>
      </c>
      <c r="C36" s="49">
        <v>0</v>
      </c>
      <c r="D36" s="50">
        <v>2</v>
      </c>
      <c r="E36" s="49">
        <v>9050</v>
      </c>
      <c r="F36" s="55">
        <f t="shared" si="0"/>
        <v>0.37703204419889497</v>
      </c>
      <c r="G36" s="59">
        <f t="shared" si="1"/>
        <v>0.53565738803214413</v>
      </c>
      <c r="H36" s="60">
        <f t="shared" si="2"/>
        <v>0</v>
      </c>
    </row>
    <row r="37" spans="2:8" x14ac:dyDescent="0.3">
      <c r="B37" s="76" t="s">
        <v>98</v>
      </c>
      <c r="C37" s="49">
        <v>0</v>
      </c>
      <c r="D37" s="50">
        <v>2</v>
      </c>
      <c r="E37" s="49">
        <v>9050</v>
      </c>
      <c r="F37" s="55">
        <f t="shared" si="0"/>
        <v>0.37703204419889497</v>
      </c>
      <c r="G37" s="59">
        <f t="shared" si="1"/>
        <v>0.53565738803214413</v>
      </c>
      <c r="H37" s="60">
        <f t="shared" si="2"/>
        <v>0</v>
      </c>
    </row>
    <row r="38" spans="2:8" x14ac:dyDescent="0.3">
      <c r="B38" s="76" t="s">
        <v>99</v>
      </c>
      <c r="C38" s="49">
        <v>8339.7395999998589</v>
      </c>
      <c r="D38" s="50">
        <v>2</v>
      </c>
      <c r="E38" s="49">
        <v>9050</v>
      </c>
      <c r="F38" s="56">
        <f t="shared" si="0"/>
        <v>0.37703204419889497</v>
      </c>
      <c r="G38" s="59">
        <f t="shared" si="1"/>
        <v>0.53565738803214413</v>
      </c>
      <c r="H38" s="60">
        <f t="shared" si="2"/>
        <v>4467.2431310041629</v>
      </c>
    </row>
    <row r="39" spans="2:8" x14ac:dyDescent="0.3">
      <c r="B39" s="77" t="s">
        <v>20</v>
      </c>
      <c r="C39" s="61"/>
      <c r="D39" s="107">
        <f>+SUM(D40:D41)</f>
        <v>90</v>
      </c>
      <c r="E39" s="44">
        <f>SUMPRODUCT(D40:D41,E40:E41)/D39</f>
        <v>9032.5</v>
      </c>
      <c r="F39" s="51">
        <f t="shared" si="0"/>
        <v>0.37776252421810125</v>
      </c>
      <c r="G39" s="46">
        <f t="shared" si="1"/>
        <v>0.53462158645307645</v>
      </c>
      <c r="H39" s="65">
        <f>+G39*C39</f>
        <v>0</v>
      </c>
    </row>
    <row r="40" spans="2:8" x14ac:dyDescent="0.3">
      <c r="B40" s="76" t="s">
        <v>113</v>
      </c>
      <c r="C40" s="49">
        <v>223504.63100000005</v>
      </c>
      <c r="D40" s="50">
        <v>45</v>
      </c>
      <c r="E40" s="49">
        <v>9004</v>
      </c>
      <c r="F40" s="55">
        <f t="shared" si="0"/>
        <v>0.37895824078187468</v>
      </c>
      <c r="G40" s="59">
        <f t="shared" si="1"/>
        <v>0.53293470959573763</v>
      </c>
      <c r="H40" s="60">
        <f t="shared" ref="H40:H42" si="3">+G40*C40</f>
        <v>119113.37561528753</v>
      </c>
    </row>
    <row r="41" spans="2:8" x14ac:dyDescent="0.3">
      <c r="B41" s="76" t="s">
        <v>114</v>
      </c>
      <c r="C41" s="49">
        <v>15850.489000000001</v>
      </c>
      <c r="D41" s="50">
        <v>45</v>
      </c>
      <c r="E41" s="49">
        <v>9061</v>
      </c>
      <c r="F41" s="56">
        <f t="shared" si="0"/>
        <v>0.37657432954420039</v>
      </c>
      <c r="G41" s="59">
        <f t="shared" si="1"/>
        <v>0.53630846331041515</v>
      </c>
      <c r="H41" s="60">
        <f t="shared" si="3"/>
        <v>8500.7513983086392</v>
      </c>
    </row>
    <row r="42" spans="2:8" x14ac:dyDescent="0.3">
      <c r="B42" s="76" t="s">
        <v>326</v>
      </c>
      <c r="C42" s="49">
        <v>125500.57599999997</v>
      </c>
      <c r="D42" s="50">
        <v>49.02</v>
      </c>
      <c r="E42" s="49">
        <v>8814</v>
      </c>
      <c r="F42" s="56">
        <f t="shared" si="0"/>
        <v>0.38712729748127978</v>
      </c>
      <c r="G42" s="59">
        <f t="shared" si="1"/>
        <v>0.52168886388014557</v>
      </c>
      <c r="H42" s="60">
        <f t="shared" si="3"/>
        <v>65472.252909743853</v>
      </c>
    </row>
    <row r="43" spans="2:8" x14ac:dyDescent="0.3">
      <c r="B43" s="77" t="s">
        <v>18</v>
      </c>
      <c r="C43" s="44">
        <v>440398.8600000001</v>
      </c>
      <c r="D43" s="107">
        <f>+SUM(D44:D45)</f>
        <v>112</v>
      </c>
      <c r="E43" s="44">
        <f>SUMPRODUCT(D44:D46,E44:E46)/D43</f>
        <v>12280.953571428572</v>
      </c>
      <c r="F43" s="51">
        <f>1/(E43/$C$13)</f>
        <v>0.2778399885769689</v>
      </c>
      <c r="G43" s="46">
        <f t="shared" si="1"/>
        <v>0.72689320581386296</v>
      </c>
      <c r="H43" s="101">
        <f>+G43*C43</f>
        <v>320122.93918217072</v>
      </c>
    </row>
    <row r="44" spans="2:8" x14ac:dyDescent="0.3">
      <c r="B44" s="76" t="s">
        <v>105</v>
      </c>
      <c r="C44" s="111"/>
      <c r="D44" s="50">
        <v>56</v>
      </c>
      <c r="E44" s="49">
        <v>10116</v>
      </c>
      <c r="F44" s="55">
        <f t="shared" si="0"/>
        <v>0.3373013048635824</v>
      </c>
      <c r="G44" s="59">
        <f t="shared" si="1"/>
        <v>0.59875250136278124</v>
      </c>
      <c r="H44" s="265"/>
    </row>
    <row r="45" spans="2:8" x14ac:dyDescent="0.3">
      <c r="B45" s="76" t="s">
        <v>106</v>
      </c>
      <c r="C45" s="269"/>
      <c r="D45" s="50">
        <v>56</v>
      </c>
      <c r="E45" s="49">
        <v>10199</v>
      </c>
      <c r="F45" s="55">
        <f t="shared" si="0"/>
        <v>0.33455632905186783</v>
      </c>
      <c r="G45" s="59">
        <f t="shared" si="1"/>
        <v>0.60366516028064499</v>
      </c>
      <c r="H45" s="71"/>
    </row>
    <row r="46" spans="2:8" x14ac:dyDescent="0.3">
      <c r="B46" s="76" t="s">
        <v>315</v>
      </c>
      <c r="C46" s="53"/>
      <c r="D46" s="50">
        <v>24.4</v>
      </c>
      <c r="E46" s="49">
        <v>9747</v>
      </c>
      <c r="F46" s="55">
        <f t="shared" si="0"/>
        <v>0.35007079101261923</v>
      </c>
      <c r="G46" s="59">
        <f t="shared" si="1"/>
        <v>0.57691188520986836</v>
      </c>
      <c r="H46" s="60">
        <f t="shared" ref="H46" si="4">+G46*C46</f>
        <v>0</v>
      </c>
    </row>
    <row r="47" spans="2:8" x14ac:dyDescent="0.3">
      <c r="B47" s="77" t="s">
        <v>23</v>
      </c>
      <c r="C47" s="44"/>
      <c r="D47" s="107">
        <f>+SUM(D48:D49)</f>
        <v>46</v>
      </c>
      <c r="E47" s="44">
        <f>SUMPRODUCT(D48:D49,E48:E49)/D47</f>
        <v>9965</v>
      </c>
      <c r="F47" s="51">
        <f t="shared" si="0"/>
        <v>0.3424124435524335</v>
      </c>
      <c r="G47" s="46">
        <f t="shared" si="1"/>
        <v>0.58981501345196863</v>
      </c>
      <c r="H47" s="101">
        <f>+G47*C47</f>
        <v>0</v>
      </c>
    </row>
    <row r="48" spans="2:8" x14ac:dyDescent="0.3">
      <c r="B48" s="76" t="s">
        <v>107</v>
      </c>
      <c r="C48" s="53">
        <v>152450</v>
      </c>
      <c r="D48" s="50">
        <v>23</v>
      </c>
      <c r="E48" s="49">
        <v>9964</v>
      </c>
      <c r="F48" s="55">
        <f t="shared" si="0"/>
        <v>0.3424468085106383</v>
      </c>
      <c r="G48" s="59">
        <f t="shared" si="1"/>
        <v>0.58975582479030753</v>
      </c>
      <c r="H48" s="60">
        <f t="shared" ref="H48:H51" si="5">+G48*C48</f>
        <v>89908.275489282387</v>
      </c>
    </row>
    <row r="49" spans="2:8" x14ac:dyDescent="0.3">
      <c r="B49" s="76" t="s">
        <v>108</v>
      </c>
      <c r="C49" s="53">
        <v>168623</v>
      </c>
      <c r="D49" s="50">
        <v>23</v>
      </c>
      <c r="E49" s="49">
        <v>9966</v>
      </c>
      <c r="F49" s="55">
        <f t="shared" si="0"/>
        <v>0.34237808549066828</v>
      </c>
      <c r="G49" s="59">
        <f t="shared" si="1"/>
        <v>0.58987420211362951</v>
      </c>
      <c r="H49" s="60">
        <f t="shared" si="5"/>
        <v>99466.357583006553</v>
      </c>
    </row>
    <row r="50" spans="2:8" x14ac:dyDescent="0.3">
      <c r="B50" s="76" t="s">
        <v>109</v>
      </c>
      <c r="C50" s="53">
        <v>182321</v>
      </c>
      <c r="D50" s="50">
        <v>25</v>
      </c>
      <c r="E50" s="49">
        <v>9983</v>
      </c>
      <c r="F50" s="55">
        <f t="shared" si="0"/>
        <v>0.34179505158769907</v>
      </c>
      <c r="G50" s="59">
        <f t="shared" si="1"/>
        <v>0.59088040936186681</v>
      </c>
      <c r="H50" s="60">
        <f t="shared" si="5"/>
        <v>107729.90711526491</v>
      </c>
    </row>
    <row r="51" spans="2:8" x14ac:dyDescent="0.3">
      <c r="B51" s="76" t="s">
        <v>110</v>
      </c>
      <c r="C51" s="53">
        <v>182872</v>
      </c>
      <c r="D51" s="50">
        <v>25</v>
      </c>
      <c r="E51" s="49">
        <v>10043</v>
      </c>
      <c r="F51" s="55">
        <f t="shared" si="0"/>
        <v>0.3397530618341133</v>
      </c>
      <c r="G51" s="59">
        <f t="shared" si="1"/>
        <v>0.59443172906152741</v>
      </c>
      <c r="H51" s="60">
        <f t="shared" si="5"/>
        <v>108704.91915693964</v>
      </c>
    </row>
    <row r="52" spans="2:8" x14ac:dyDescent="0.3">
      <c r="B52" s="77" t="s">
        <v>16</v>
      </c>
      <c r="C52" s="61"/>
      <c r="D52" s="107">
        <f>+SUM(D53:D60)</f>
        <v>368</v>
      </c>
      <c r="E52" s="44">
        <f>SUMPRODUCT(D53:D60,E53:E60)/D52</f>
        <v>9872.152173913044</v>
      </c>
      <c r="F52" s="51">
        <f t="shared" si="0"/>
        <v>0.34563284073117395</v>
      </c>
      <c r="G52" s="46">
        <f t="shared" si="1"/>
        <v>0.58431947488774738</v>
      </c>
      <c r="H52" s="65">
        <f>+G52*C52</f>
        <v>0</v>
      </c>
    </row>
    <row r="53" spans="2:8" x14ac:dyDescent="0.3">
      <c r="B53" s="76" t="s">
        <v>78</v>
      </c>
      <c r="C53" s="49">
        <v>42919.199999999997</v>
      </c>
      <c r="D53" s="50">
        <v>22</v>
      </c>
      <c r="E53" s="49">
        <v>11971</v>
      </c>
      <c r="F53" s="55">
        <f t="shared" si="0"/>
        <v>0.2850338317600869</v>
      </c>
      <c r="G53" s="59">
        <f t="shared" si="1"/>
        <v>0.70854746874395536</v>
      </c>
      <c r="H53" s="60">
        <f t="shared" ref="H53:H60" si="6">+G53*C53</f>
        <v>30410.290520515566</v>
      </c>
    </row>
    <row r="54" spans="2:8" x14ac:dyDescent="0.3">
      <c r="B54" s="76" t="s">
        <v>79</v>
      </c>
      <c r="C54" s="49">
        <v>28229.760000000002</v>
      </c>
      <c r="D54" s="50">
        <v>20</v>
      </c>
      <c r="E54" s="49">
        <v>12595</v>
      </c>
      <c r="F54" s="55">
        <f t="shared" si="0"/>
        <v>0.27091226677252878</v>
      </c>
      <c r="G54" s="59">
        <f t="shared" si="1"/>
        <v>0.74548119362042586</v>
      </c>
      <c r="H54" s="60">
        <f t="shared" si="6"/>
        <v>21044.755180418153</v>
      </c>
    </row>
    <row r="55" spans="2:8" x14ac:dyDescent="0.3">
      <c r="B55" s="76" t="s">
        <v>80</v>
      </c>
      <c r="C55" s="49">
        <v>43634.928000000007</v>
      </c>
      <c r="D55" s="50">
        <v>20</v>
      </c>
      <c r="E55" s="49">
        <v>12834</v>
      </c>
      <c r="F55" s="55">
        <f t="shared" si="0"/>
        <v>0.26586722767648435</v>
      </c>
      <c r="G55" s="59">
        <f t="shared" si="1"/>
        <v>0.75962728375740729</v>
      </c>
      <c r="H55" s="60">
        <f t="shared" si="6"/>
        <v>33146.281833590045</v>
      </c>
    </row>
    <row r="56" spans="2:8" x14ac:dyDescent="0.3">
      <c r="B56" s="76" t="s">
        <v>81</v>
      </c>
      <c r="C56" s="49">
        <v>73438.604999999996</v>
      </c>
      <c r="D56" s="50">
        <v>21</v>
      </c>
      <c r="E56" s="49">
        <v>12644</v>
      </c>
      <c r="F56" s="56">
        <f t="shared" si="0"/>
        <v>0.26986238532110091</v>
      </c>
      <c r="G56" s="59">
        <f t="shared" si="1"/>
        <v>0.74838143804181545</v>
      </c>
      <c r="H56" s="60">
        <f t="shared" si="6"/>
        <v>54960.088817684853</v>
      </c>
    </row>
    <row r="57" spans="2:8" x14ac:dyDescent="0.3">
      <c r="B57" s="76" t="s">
        <v>82</v>
      </c>
      <c r="C57" s="49">
        <v>240047.45999999993</v>
      </c>
      <c r="D57" s="50">
        <v>63</v>
      </c>
      <c r="E57" s="49">
        <v>10070</v>
      </c>
      <c r="F57" s="100">
        <f t="shared" si="0"/>
        <v>0.33884210526315789</v>
      </c>
      <c r="G57" s="102">
        <f t="shared" si="1"/>
        <v>0.59602982292637463</v>
      </c>
      <c r="H57" s="103">
        <f t="shared" si="6"/>
        <v>143075.44507772595</v>
      </c>
    </row>
    <row r="58" spans="2:8" x14ac:dyDescent="0.3">
      <c r="B58" s="76" t="s">
        <v>83</v>
      </c>
      <c r="C58" s="49">
        <v>386168.79599999997</v>
      </c>
      <c r="D58" s="50">
        <v>63</v>
      </c>
      <c r="E58" s="49">
        <v>10070</v>
      </c>
      <c r="F58" s="55">
        <f t="shared" si="0"/>
        <v>0.33884210526315789</v>
      </c>
      <c r="G58" s="59">
        <f t="shared" si="1"/>
        <v>0.59602982292637463</v>
      </c>
      <c r="H58" s="60">
        <f t="shared" si="6"/>
        <v>230168.11909957128</v>
      </c>
    </row>
    <row r="59" spans="2:8" x14ac:dyDescent="0.3">
      <c r="B59" s="76" t="s">
        <v>84</v>
      </c>
      <c r="C59" s="49">
        <v>299524.30199999997</v>
      </c>
      <c r="D59" s="50">
        <v>63</v>
      </c>
      <c r="E59" s="49">
        <v>10070</v>
      </c>
      <c r="F59" s="55">
        <f t="shared" si="0"/>
        <v>0.33884210526315789</v>
      </c>
      <c r="G59" s="59">
        <f t="shared" si="1"/>
        <v>0.59602982292637463</v>
      </c>
      <c r="H59" s="60">
        <f t="shared" si="6"/>
        <v>178525.41668320593</v>
      </c>
    </row>
    <row r="60" spans="2:8" x14ac:dyDescent="0.3">
      <c r="B60" s="76" t="s">
        <v>314</v>
      </c>
      <c r="C60" s="49">
        <v>222713.652</v>
      </c>
      <c r="D60" s="50">
        <v>96</v>
      </c>
      <c r="E60" s="49">
        <v>7211</v>
      </c>
      <c r="F60" s="55">
        <f t="shared" si="0"/>
        <v>0.47318541117736784</v>
      </c>
      <c r="G60" s="59">
        <f t="shared" si="1"/>
        <v>0.426809439237546</v>
      </c>
      <c r="H60" s="60">
        <f t="shared" si="6"/>
        <v>95056.28892066596</v>
      </c>
    </row>
    <row r="61" spans="2:8" x14ac:dyDescent="0.3">
      <c r="B61" s="77" t="s">
        <v>21</v>
      </c>
      <c r="C61" s="61"/>
      <c r="D61" s="107">
        <f>+D62</f>
        <v>14</v>
      </c>
      <c r="E61" s="44">
        <f>+E62</f>
        <v>11860</v>
      </c>
      <c r="F61" s="45">
        <f t="shared" si="0"/>
        <v>0.2877015177065767</v>
      </c>
      <c r="G61" s="46">
        <f t="shared" si="1"/>
        <v>0.70197752729958329</v>
      </c>
      <c r="H61" s="65">
        <f>+G61*C61</f>
        <v>0</v>
      </c>
    </row>
    <row r="62" spans="2:8" x14ac:dyDescent="0.3">
      <c r="B62" s="76" t="s">
        <v>100</v>
      </c>
      <c r="C62" s="49">
        <v>76545.155212149999</v>
      </c>
      <c r="D62" s="50">
        <v>14</v>
      </c>
      <c r="E62" s="49">
        <v>11860</v>
      </c>
      <c r="F62" s="55">
        <f t="shared" si="0"/>
        <v>0.2877015177065767</v>
      </c>
      <c r="G62" s="59">
        <f t="shared" si="1"/>
        <v>0.70197752729958329</v>
      </c>
      <c r="H62" s="60">
        <f t="shared" ref="H62" si="7">+G62*C62</f>
        <v>53732.978782587867</v>
      </c>
    </row>
    <row r="63" spans="2:8" x14ac:dyDescent="0.3">
      <c r="B63" s="77" t="s">
        <v>22</v>
      </c>
      <c r="C63" s="61"/>
      <c r="D63" s="107">
        <f>+SUM(D64:D65)</f>
        <v>18</v>
      </c>
      <c r="E63" s="44">
        <f>SUMPRODUCT(D64:D65,E64:E65)/D63</f>
        <v>12028</v>
      </c>
      <c r="F63" s="45">
        <f t="shared" si="0"/>
        <v>0.28368307283006317</v>
      </c>
      <c r="G63" s="46">
        <f t="shared" si="1"/>
        <v>0.7119212224586331</v>
      </c>
      <c r="H63" s="65">
        <f>+G63*C63</f>
        <v>0</v>
      </c>
    </row>
    <row r="64" spans="2:8" x14ac:dyDescent="0.3">
      <c r="B64" s="76" t="s">
        <v>111</v>
      </c>
      <c r="C64" s="49">
        <v>1793.82</v>
      </c>
      <c r="D64" s="50">
        <v>9</v>
      </c>
      <c r="E64" s="49">
        <v>12074</v>
      </c>
      <c r="F64" s="55">
        <f t="shared" si="0"/>
        <v>0.28260228590359449</v>
      </c>
      <c r="G64" s="59">
        <f t="shared" si="1"/>
        <v>0.71464390089503949</v>
      </c>
      <c r="H64" s="60">
        <f t="shared" ref="H64:H65" si="8">+G64*C64</f>
        <v>1281.9425223035396</v>
      </c>
    </row>
    <row r="65" spans="2:8" x14ac:dyDescent="0.3">
      <c r="B65" s="76" t="s">
        <v>112</v>
      </c>
      <c r="C65" s="49">
        <v>14728.669187500001</v>
      </c>
      <c r="D65" s="50">
        <v>9</v>
      </c>
      <c r="E65" s="49">
        <v>11982</v>
      </c>
      <c r="F65" s="55">
        <f t="shared" si="0"/>
        <v>0.28477215823735602</v>
      </c>
      <c r="G65" s="59">
        <f t="shared" si="1"/>
        <v>0.7091985440222266</v>
      </c>
      <c r="H65" s="60">
        <f t="shared" si="8"/>
        <v>10445.550743160033</v>
      </c>
    </row>
    <row r="66" spans="2:8" x14ac:dyDescent="0.3">
      <c r="B66" s="77" t="s">
        <v>17</v>
      </c>
      <c r="C66" s="61"/>
      <c r="D66" s="107">
        <f>+SUM(D67:D68)</f>
        <v>44</v>
      </c>
      <c r="E66" s="44">
        <f>SUMPRODUCT(D67:D68,E67:E68)/D66</f>
        <v>11761</v>
      </c>
      <c r="F66" s="45">
        <f t="shared" si="0"/>
        <v>0.29012328883598332</v>
      </c>
      <c r="G66" s="46">
        <f t="shared" si="1"/>
        <v>0.69611784979514324</v>
      </c>
      <c r="H66" s="65">
        <f>+G66*C66</f>
        <v>0</v>
      </c>
    </row>
    <row r="67" spans="2:8" x14ac:dyDescent="0.3">
      <c r="B67" s="76" t="s">
        <v>85</v>
      </c>
      <c r="C67" s="49">
        <v>76414.35149999999</v>
      </c>
      <c r="D67" s="50">
        <v>22</v>
      </c>
      <c r="E67" s="49">
        <v>11850</v>
      </c>
      <c r="F67" s="55">
        <f t="shared" si="0"/>
        <v>0.28794430379746838</v>
      </c>
      <c r="G67" s="59">
        <f t="shared" si="1"/>
        <v>0.70138564068297304</v>
      </c>
      <c r="H67" s="60">
        <f t="shared" ref="H67:H68" si="9">+G67*C67</f>
        <v>53595.928884201392</v>
      </c>
    </row>
    <row r="68" spans="2:8" x14ac:dyDescent="0.3">
      <c r="B68" s="76" t="s">
        <v>86</v>
      </c>
      <c r="C68" s="49">
        <v>69334.630499999999</v>
      </c>
      <c r="D68" s="50">
        <v>22</v>
      </c>
      <c r="E68" s="49">
        <v>11672</v>
      </c>
      <c r="F68" s="55">
        <f t="shared" si="0"/>
        <v>0.29233550376970524</v>
      </c>
      <c r="G68" s="59">
        <f t="shared" si="1"/>
        <v>0.69085005890731344</v>
      </c>
      <c r="H68" s="60">
        <f t="shared" si="9"/>
        <v>47899.83356524181</v>
      </c>
    </row>
    <row r="69" spans="2:8" x14ac:dyDescent="0.3">
      <c r="B69" s="77" t="s">
        <v>24</v>
      </c>
      <c r="C69" s="61"/>
      <c r="D69" s="107">
        <f>+SUM(D70:D73)</f>
        <v>175.36</v>
      </c>
      <c r="E69" s="44">
        <f>SUMPRODUCT(D70:D73,E70:E73)/D69</f>
        <v>9439.7466925182471</v>
      </c>
      <c r="F69" s="45">
        <f t="shared" si="0"/>
        <v>0.36146520782219649</v>
      </c>
      <c r="G69" s="46">
        <f t="shared" si="1"/>
        <v>0.55872597314910444</v>
      </c>
      <c r="H69" s="65">
        <f>+G69*C69</f>
        <v>0</v>
      </c>
    </row>
    <row r="70" spans="2:8" x14ac:dyDescent="0.3">
      <c r="B70" s="76" t="s">
        <v>327</v>
      </c>
      <c r="C70" s="49">
        <v>327520.80560572003</v>
      </c>
      <c r="D70" s="270">
        <v>43.83</v>
      </c>
      <c r="E70" s="49">
        <v>9424</v>
      </c>
      <c r="F70" s="55">
        <f t="shared" si="0"/>
        <v>0.3620691850594227</v>
      </c>
      <c r="G70" s="59">
        <f t="shared" si="1"/>
        <v>0.55779394749336197</v>
      </c>
      <c r="H70" s="60">
        <f t="shared" ref="H70:H73" si="10">+G70*C70</f>
        <v>182689.12304502062</v>
      </c>
    </row>
    <row r="71" spans="2:8" x14ac:dyDescent="0.3">
      <c r="B71" s="76" t="s">
        <v>328</v>
      </c>
      <c r="C71" s="49">
        <v>313178.53026025603</v>
      </c>
      <c r="D71" s="270">
        <v>43.31</v>
      </c>
      <c r="E71" s="49">
        <v>9500</v>
      </c>
      <c r="F71" s="55">
        <f t="shared" si="0"/>
        <v>0.35917263157894735</v>
      </c>
      <c r="G71" s="59">
        <f t="shared" si="1"/>
        <v>0.56229228577959878</v>
      </c>
      <c r="H71" s="60">
        <f t="shared" si="10"/>
        <v>176097.87163713461</v>
      </c>
    </row>
    <row r="72" spans="2:8" x14ac:dyDescent="0.3">
      <c r="B72" s="76" t="s">
        <v>329</v>
      </c>
      <c r="C72" s="49">
        <v>329847.8391620898</v>
      </c>
      <c r="D72" s="270">
        <v>44.16</v>
      </c>
      <c r="E72" s="49">
        <v>9409</v>
      </c>
      <c r="F72" s="55">
        <f t="shared" si="0"/>
        <v>0.36264640238069934</v>
      </c>
      <c r="G72" s="59">
        <f t="shared" si="1"/>
        <v>0.55690611756844677</v>
      </c>
      <c r="H72" s="60">
        <f t="shared" si="10"/>
        <v>183694.27949610091</v>
      </c>
    </row>
    <row r="73" spans="2:8" x14ac:dyDescent="0.3">
      <c r="B73" s="76" t="s">
        <v>330</v>
      </c>
      <c r="C73" s="49">
        <v>310140.64298799884</v>
      </c>
      <c r="D73" s="270">
        <v>44.06</v>
      </c>
      <c r="E73" s="49">
        <v>9427</v>
      </c>
      <c r="F73" s="56">
        <f t="shared" si="0"/>
        <v>0.36195396202397367</v>
      </c>
      <c r="G73" s="59">
        <f t="shared" si="1"/>
        <v>0.55797151347834495</v>
      </c>
      <c r="H73" s="60">
        <f t="shared" si="10"/>
        <v>173049.64395916078</v>
      </c>
    </row>
    <row r="74" spans="2:8" x14ac:dyDescent="0.3">
      <c r="B74" s="77" t="s">
        <v>45</v>
      </c>
      <c r="C74" s="44">
        <v>431717.94459999999</v>
      </c>
      <c r="D74" s="107">
        <f>+SUM(D75:D82)</f>
        <v>116.6</v>
      </c>
      <c r="E74" s="44">
        <f>SUMPRODUCT(D75:D82,E75:E82)/D74</f>
        <v>12178.993224699829</v>
      </c>
      <c r="F74" s="51">
        <f t="shared" si="0"/>
        <v>0.28016601512512113</v>
      </c>
      <c r="G74" s="46">
        <f t="shared" si="1"/>
        <v>0.72085830934849604</v>
      </c>
      <c r="H74" s="101">
        <f>+G74*C74</f>
        <v>311207.46765976364</v>
      </c>
    </row>
    <row r="75" spans="2:8" x14ac:dyDescent="0.3">
      <c r="B75" s="76" t="s">
        <v>101</v>
      </c>
      <c r="C75" s="111"/>
      <c r="D75" s="50">
        <v>18.52</v>
      </c>
      <c r="E75" s="49">
        <v>16682</v>
      </c>
      <c r="F75" s="55">
        <f t="shared" si="0"/>
        <v>0.20454022299484476</v>
      </c>
      <c r="G75" s="59">
        <f t="shared" si="1"/>
        <v>0.98738525382897535</v>
      </c>
      <c r="H75" s="60">
        <f t="shared" ref="H75:H82" si="11">+G75*C75</f>
        <v>0</v>
      </c>
    </row>
    <row r="76" spans="2:8" x14ac:dyDescent="0.3">
      <c r="B76" s="76" t="s">
        <v>102</v>
      </c>
      <c r="C76" s="269"/>
      <c r="D76" s="50">
        <v>18.809999999999999</v>
      </c>
      <c r="E76" s="49">
        <v>12448</v>
      </c>
      <c r="F76" s="55">
        <f t="shared" si="0"/>
        <v>0.27411150385604111</v>
      </c>
      <c r="G76" s="59">
        <f t="shared" si="1"/>
        <v>0.73678046035625744</v>
      </c>
      <c r="H76" s="60">
        <f t="shared" si="11"/>
        <v>0</v>
      </c>
    </row>
    <row r="77" spans="2:8" x14ac:dyDescent="0.3">
      <c r="B77" s="76" t="s">
        <v>103</v>
      </c>
      <c r="C77" s="269"/>
      <c r="D77" s="50">
        <v>18.32</v>
      </c>
      <c r="E77" s="49">
        <v>12870</v>
      </c>
      <c r="F77" s="55">
        <f t="shared" si="0"/>
        <v>0.26512354312354308</v>
      </c>
      <c r="G77" s="59">
        <f t="shared" si="1"/>
        <v>0.76175807557720387</v>
      </c>
      <c r="H77" s="60">
        <f t="shared" si="11"/>
        <v>0</v>
      </c>
    </row>
    <row r="78" spans="2:8" x14ac:dyDescent="0.3">
      <c r="B78" s="76" t="s">
        <v>104</v>
      </c>
      <c r="C78" s="269"/>
      <c r="D78" s="50">
        <v>18.63</v>
      </c>
      <c r="E78" s="49">
        <v>12343</v>
      </c>
      <c r="F78" s="56">
        <f t="shared" si="0"/>
        <v>0.27644332820221984</v>
      </c>
      <c r="G78" s="59">
        <f t="shared" si="1"/>
        <v>0.73056565088185144</v>
      </c>
      <c r="H78" s="60">
        <f t="shared" si="11"/>
        <v>0</v>
      </c>
    </row>
    <row r="79" spans="2:8" x14ac:dyDescent="0.3">
      <c r="B79" s="76" t="s">
        <v>319</v>
      </c>
      <c r="C79" s="269"/>
      <c r="D79" s="50">
        <v>10.58</v>
      </c>
      <c r="E79" s="49">
        <v>9753</v>
      </c>
      <c r="F79" s="56">
        <f t="shared" si="0"/>
        <v>0.34985542909873885</v>
      </c>
      <c r="G79" s="59">
        <f t="shared" si="1"/>
        <v>0.57726701717983442</v>
      </c>
      <c r="H79" s="60">
        <f t="shared" si="11"/>
        <v>0</v>
      </c>
    </row>
    <row r="80" spans="2:8" x14ac:dyDescent="0.3">
      <c r="B80" s="76" t="s">
        <v>320</v>
      </c>
      <c r="C80" s="269"/>
      <c r="D80" s="50">
        <v>10.58</v>
      </c>
      <c r="E80" s="49">
        <v>9943</v>
      </c>
      <c r="F80" s="56">
        <f t="shared" si="0"/>
        <v>0.34317006939555461</v>
      </c>
      <c r="G80" s="59">
        <f t="shared" si="1"/>
        <v>0.58851286289542637</v>
      </c>
      <c r="H80" s="60">
        <f t="shared" si="11"/>
        <v>0</v>
      </c>
    </row>
    <row r="81" spans="2:8" x14ac:dyDescent="0.3">
      <c r="B81" s="76" t="s">
        <v>321</v>
      </c>
      <c r="C81" s="269"/>
      <c r="D81" s="50">
        <v>10.58</v>
      </c>
      <c r="E81" s="49">
        <v>9562</v>
      </c>
      <c r="F81" s="56">
        <f t="shared" si="0"/>
        <v>0.35684375653628941</v>
      </c>
      <c r="G81" s="59">
        <f t="shared" si="1"/>
        <v>0.56596198280258148</v>
      </c>
      <c r="H81" s="60">
        <f t="shared" si="11"/>
        <v>0</v>
      </c>
    </row>
    <row r="82" spans="2:8" x14ac:dyDescent="0.3">
      <c r="B82" s="76" t="s">
        <v>322</v>
      </c>
      <c r="C82" s="53"/>
      <c r="D82" s="50">
        <v>10.58</v>
      </c>
      <c r="E82" s="49">
        <v>9612</v>
      </c>
      <c r="F82" s="56">
        <f t="shared" si="0"/>
        <v>0.35498751560549313</v>
      </c>
      <c r="G82" s="59">
        <f t="shared" si="1"/>
        <v>0.56892141588563194</v>
      </c>
      <c r="H82" s="60">
        <f t="shared" si="11"/>
        <v>0</v>
      </c>
    </row>
    <row r="83" spans="2:8" x14ac:dyDescent="0.3">
      <c r="B83" s="77" t="s">
        <v>25</v>
      </c>
      <c r="C83" s="61"/>
      <c r="D83" s="107">
        <f>+SUM(D84:D89)</f>
        <v>221.45999999999998</v>
      </c>
      <c r="E83" s="44">
        <f>SUMPRODUCT(D84:D89,E84:E89)/D83</f>
        <v>9170.4941750203197</v>
      </c>
      <c r="F83" s="51">
        <f t="shared" si="0"/>
        <v>0.3720780946892035</v>
      </c>
      <c r="G83" s="46">
        <f t="shared" si="1"/>
        <v>0.54278927698954438</v>
      </c>
      <c r="H83" s="65">
        <f>+G83*C83</f>
        <v>0</v>
      </c>
    </row>
    <row r="84" spans="2:8" x14ac:dyDescent="0.3">
      <c r="B84" s="76" t="s">
        <v>333</v>
      </c>
      <c r="C84" s="49">
        <v>327476</v>
      </c>
      <c r="D84" s="50">
        <v>44.58</v>
      </c>
      <c r="E84" s="49">
        <v>9100</v>
      </c>
      <c r="F84" s="55">
        <f t="shared" si="0"/>
        <v>0.37496043956043956</v>
      </c>
      <c r="G84" s="59">
        <f t="shared" si="1"/>
        <v>0.5386168211151946</v>
      </c>
      <c r="H84" s="60">
        <f t="shared" ref="H84:H88" si="12">+G84*C84</f>
        <v>176384.08211151947</v>
      </c>
    </row>
    <row r="85" spans="2:8" x14ac:dyDescent="0.3">
      <c r="B85" s="76" t="s">
        <v>334</v>
      </c>
      <c r="C85" s="49">
        <v>303848</v>
      </c>
      <c r="D85" s="50">
        <v>44</v>
      </c>
      <c r="E85" s="49">
        <v>9185</v>
      </c>
      <c r="F85" s="55">
        <f t="shared" si="0"/>
        <v>0.37149047359825804</v>
      </c>
      <c r="G85" s="59">
        <f t="shared" si="1"/>
        <v>0.54364785735638044</v>
      </c>
      <c r="H85" s="60">
        <f t="shared" si="12"/>
        <v>165186.31416202147</v>
      </c>
    </row>
    <row r="86" spans="2:8" x14ac:dyDescent="0.3">
      <c r="B86" s="76" t="s">
        <v>335</v>
      </c>
      <c r="C86" s="49">
        <v>334360</v>
      </c>
      <c r="D86" s="50">
        <v>44.33</v>
      </c>
      <c r="E86" s="49">
        <v>9183</v>
      </c>
      <c r="F86" s="55">
        <f t="shared" si="0"/>
        <v>0.37157138190133943</v>
      </c>
      <c r="G86" s="59">
        <f t="shared" si="1"/>
        <v>0.54352948003305845</v>
      </c>
      <c r="H86" s="60">
        <f t="shared" si="12"/>
        <v>181734.51694385344</v>
      </c>
    </row>
    <row r="87" spans="2:8" x14ac:dyDescent="0.3">
      <c r="B87" s="76" t="s">
        <v>336</v>
      </c>
      <c r="C87" s="49">
        <v>328445</v>
      </c>
      <c r="D87" s="50">
        <v>44.55</v>
      </c>
      <c r="E87" s="49">
        <v>9195</v>
      </c>
      <c r="F87" s="56">
        <f t="shared" si="0"/>
        <v>0.37108646003262641</v>
      </c>
      <c r="G87" s="59">
        <f t="shared" si="1"/>
        <v>0.54423974397299058</v>
      </c>
      <c r="H87" s="60">
        <f t="shared" si="12"/>
        <v>178752.82270920888</v>
      </c>
    </row>
    <row r="88" spans="2:8" x14ac:dyDescent="0.3">
      <c r="B88" s="76" t="s">
        <v>337</v>
      </c>
      <c r="C88" s="49">
        <v>330964</v>
      </c>
      <c r="D88" s="50">
        <v>44</v>
      </c>
      <c r="E88" s="49">
        <v>9190</v>
      </c>
      <c r="F88" s="56">
        <f t="shared" ref="F88" si="13">1/(E88/$C$13)</f>
        <v>0.37128835690968442</v>
      </c>
      <c r="G88" s="102">
        <f t="shared" ref="G88" si="14">+$C$14*$C$15/F88</f>
        <v>0.54394380066468551</v>
      </c>
      <c r="H88" s="103">
        <f t="shared" si="12"/>
        <v>180025.81604318696</v>
      </c>
    </row>
    <row r="89" spans="2:8" x14ac:dyDescent="0.3">
      <c r="B89" s="113"/>
      <c r="C89" s="30"/>
      <c r="D89" s="213"/>
      <c r="E89" s="30"/>
      <c r="F89" s="41"/>
      <c r="G89" s="35"/>
      <c r="H89" s="208"/>
    </row>
    <row r="90" spans="2:8" ht="28.8" x14ac:dyDescent="0.3">
      <c r="B90" s="84" t="s">
        <v>164</v>
      </c>
      <c r="C90" s="79" t="s">
        <v>197</v>
      </c>
      <c r="D90" s="99"/>
      <c r="E90" s="99"/>
      <c r="F90" s="4"/>
      <c r="G90" s="99"/>
      <c r="H90" s="9"/>
    </row>
    <row r="91" spans="2:8" x14ac:dyDescent="0.3">
      <c r="B91" s="82" t="s">
        <v>0</v>
      </c>
      <c r="C91" s="83">
        <f>SUM(C92:C158)</f>
        <v>1715604.4612500004</v>
      </c>
      <c r="D91" s="31"/>
      <c r="E91" s="31"/>
      <c r="F91" s="9"/>
      <c r="G91" s="31"/>
      <c r="H91" s="9"/>
    </row>
    <row r="92" spans="2:8" x14ac:dyDescent="0.3">
      <c r="B92" s="57" t="s">
        <v>26</v>
      </c>
      <c r="C92" s="78"/>
      <c r="D92" s="30"/>
      <c r="E92" s="30"/>
      <c r="F92" s="4"/>
      <c r="G92" s="30"/>
      <c r="H92" s="9"/>
    </row>
    <row r="93" spans="2:8" x14ac:dyDescent="0.3">
      <c r="B93" s="47" t="s">
        <v>142</v>
      </c>
      <c r="C93" s="49">
        <v>8299.025999999998</v>
      </c>
      <c r="D93" s="30"/>
      <c r="E93" s="30"/>
      <c r="F93" s="4"/>
      <c r="G93" s="30"/>
      <c r="H93" s="9"/>
    </row>
    <row r="94" spans="2:8" x14ac:dyDescent="0.3">
      <c r="B94" s="47" t="s">
        <v>143</v>
      </c>
      <c r="C94" s="49">
        <v>2863.16</v>
      </c>
      <c r="D94" s="30"/>
      <c r="E94" s="30"/>
      <c r="F94" s="4"/>
      <c r="G94" s="30"/>
      <c r="H94" s="9"/>
    </row>
    <row r="95" spans="2:8" x14ac:dyDescent="0.3">
      <c r="B95" s="47" t="s">
        <v>144</v>
      </c>
      <c r="C95" s="49">
        <v>5656.7429999999995</v>
      </c>
      <c r="D95" s="30"/>
      <c r="E95" s="30"/>
      <c r="F95" s="4"/>
      <c r="G95" s="30"/>
      <c r="H95" s="9"/>
    </row>
    <row r="96" spans="2:8" x14ac:dyDescent="0.3">
      <c r="B96" s="57" t="s">
        <v>27</v>
      </c>
      <c r="C96" s="78"/>
      <c r="D96" s="30"/>
      <c r="E96" s="30"/>
      <c r="F96" s="4"/>
      <c r="G96" s="30"/>
      <c r="H96" s="9"/>
    </row>
    <row r="97" spans="2:8" x14ac:dyDescent="0.3">
      <c r="B97" s="47" t="s">
        <v>125</v>
      </c>
      <c r="C97" s="49">
        <v>5032.6009999999997</v>
      </c>
      <c r="D97" s="30"/>
      <c r="E97" s="30"/>
      <c r="F97" s="4"/>
      <c r="G97" s="30"/>
      <c r="H97" s="9"/>
    </row>
    <row r="98" spans="2:8" x14ac:dyDescent="0.3">
      <c r="B98" s="47" t="s">
        <v>126</v>
      </c>
      <c r="C98" s="49">
        <v>3451.9039999999995</v>
      </c>
      <c r="D98" s="30"/>
      <c r="E98" s="30"/>
      <c r="F98" s="4"/>
      <c r="G98" s="30"/>
      <c r="H98" s="9"/>
    </row>
    <row r="99" spans="2:8" x14ac:dyDescent="0.3">
      <c r="B99" s="47" t="s">
        <v>127</v>
      </c>
      <c r="C99" s="49">
        <v>18889.346000000001</v>
      </c>
      <c r="D99" s="30"/>
      <c r="E99" s="30"/>
      <c r="F99" s="4"/>
      <c r="G99" s="30"/>
      <c r="H99" s="9"/>
    </row>
    <row r="100" spans="2:8" x14ac:dyDescent="0.3">
      <c r="B100" s="57" t="s">
        <v>28</v>
      </c>
      <c r="C100" s="78"/>
      <c r="D100" s="30"/>
      <c r="E100" s="30"/>
      <c r="F100" s="4"/>
      <c r="G100" s="30"/>
      <c r="H100" s="9"/>
    </row>
    <row r="101" spans="2:8" x14ac:dyDescent="0.3">
      <c r="B101" s="47" t="s">
        <v>156</v>
      </c>
      <c r="C101" s="49">
        <v>62691.474999999999</v>
      </c>
      <c r="D101" s="30"/>
      <c r="E101" s="30"/>
      <c r="F101" s="4"/>
      <c r="G101" s="30"/>
      <c r="H101" s="9"/>
    </row>
    <row r="102" spans="2:8" x14ac:dyDescent="0.3">
      <c r="B102" s="47" t="s">
        <v>157</v>
      </c>
      <c r="C102" s="49">
        <v>67549.632999999987</v>
      </c>
      <c r="D102" s="30"/>
      <c r="E102" s="30"/>
      <c r="F102" s="4"/>
      <c r="G102" s="30"/>
      <c r="H102" s="9"/>
    </row>
    <row r="103" spans="2:8" x14ac:dyDescent="0.3">
      <c r="B103" s="57" t="s">
        <v>32</v>
      </c>
      <c r="C103" s="78"/>
      <c r="D103" s="30"/>
      <c r="E103" s="30"/>
      <c r="F103" s="4"/>
      <c r="G103" s="30"/>
      <c r="H103" s="9"/>
    </row>
    <row r="104" spans="2:8" x14ac:dyDescent="0.3">
      <c r="B104" s="47" t="s">
        <v>148</v>
      </c>
      <c r="C104" s="49">
        <v>36040.239999999998</v>
      </c>
      <c r="D104" s="30"/>
      <c r="E104" s="30"/>
      <c r="F104" s="4"/>
      <c r="G104" s="30"/>
      <c r="H104" s="9"/>
    </row>
    <row r="105" spans="2:8" x14ac:dyDescent="0.3">
      <c r="B105" s="57" t="s">
        <v>29</v>
      </c>
      <c r="C105" s="78"/>
      <c r="D105" s="30"/>
      <c r="E105" s="30"/>
      <c r="F105" s="4"/>
      <c r="G105" s="30"/>
      <c r="H105" s="9"/>
    </row>
    <row r="106" spans="2:8" x14ac:dyDescent="0.3">
      <c r="B106" s="47" t="s">
        <v>149</v>
      </c>
      <c r="C106" s="49">
        <v>38.668450000000043</v>
      </c>
      <c r="D106" s="30"/>
      <c r="E106" s="30"/>
      <c r="F106" s="4"/>
      <c r="G106" s="30"/>
      <c r="H106" s="9"/>
    </row>
    <row r="107" spans="2:8" x14ac:dyDescent="0.3">
      <c r="B107" s="47" t="s">
        <v>173</v>
      </c>
      <c r="C107" s="49">
        <v>50256.089999999975</v>
      </c>
      <c r="D107" s="30"/>
      <c r="E107" s="30"/>
      <c r="F107" s="4"/>
      <c r="G107" s="30"/>
      <c r="H107" s="9"/>
    </row>
    <row r="108" spans="2:8" x14ac:dyDescent="0.3">
      <c r="B108" s="57" t="s">
        <v>30</v>
      </c>
      <c r="C108" s="78"/>
      <c r="D108" s="30"/>
      <c r="E108" s="30"/>
      <c r="F108" s="4"/>
      <c r="G108" s="30"/>
      <c r="H108" s="9"/>
    </row>
    <row r="109" spans="2:8" x14ac:dyDescent="0.3">
      <c r="B109" s="47" t="s">
        <v>145</v>
      </c>
      <c r="C109" s="49">
        <v>9108.7590000000018</v>
      </c>
      <c r="D109" s="30"/>
      <c r="E109" s="30"/>
      <c r="F109" s="4"/>
      <c r="G109" s="30"/>
      <c r="H109" s="9"/>
    </row>
    <row r="110" spans="2:8" x14ac:dyDescent="0.3">
      <c r="B110" s="47" t="s">
        <v>146</v>
      </c>
      <c r="C110" s="49">
        <v>11847.556</v>
      </c>
      <c r="D110" s="30"/>
      <c r="E110" s="30"/>
      <c r="F110" s="4"/>
      <c r="G110" s="30"/>
      <c r="H110" s="9"/>
    </row>
    <row r="111" spans="2:8" x14ac:dyDescent="0.3">
      <c r="B111" s="47" t="s">
        <v>147</v>
      </c>
      <c r="C111" s="49">
        <v>9006.9719999999979</v>
      </c>
      <c r="D111" s="30"/>
      <c r="E111" s="30"/>
      <c r="F111" s="4"/>
      <c r="G111" s="30"/>
      <c r="H111" s="9"/>
    </row>
    <row r="112" spans="2:8" x14ac:dyDescent="0.3">
      <c r="B112" s="57" t="s">
        <v>31</v>
      </c>
      <c r="C112" s="78"/>
      <c r="D112" s="30"/>
      <c r="E112" s="30"/>
      <c r="F112" s="4"/>
      <c r="G112" s="30"/>
      <c r="H112" s="9"/>
    </row>
    <row r="113" spans="2:8" x14ac:dyDescent="0.3">
      <c r="B113" s="47" t="s">
        <v>136</v>
      </c>
      <c r="C113" s="49">
        <v>53061.766000000011</v>
      </c>
      <c r="D113" s="30"/>
      <c r="E113" s="30"/>
      <c r="F113" s="4"/>
      <c r="G113" s="30"/>
      <c r="H113" s="9"/>
    </row>
    <row r="114" spans="2:8" x14ac:dyDescent="0.3">
      <c r="B114" s="47" t="s">
        <v>137</v>
      </c>
      <c r="C114" s="49">
        <v>53897.992999999995</v>
      </c>
      <c r="D114" s="30"/>
      <c r="E114" s="30"/>
      <c r="F114" s="4"/>
      <c r="G114" s="30"/>
      <c r="H114" s="9"/>
    </row>
    <row r="115" spans="2:8" x14ac:dyDescent="0.3">
      <c r="B115" s="57" t="s">
        <v>3</v>
      </c>
      <c r="C115" s="78"/>
      <c r="D115" s="30"/>
      <c r="E115" s="30"/>
      <c r="F115" s="4"/>
      <c r="G115" s="30"/>
      <c r="H115" s="9"/>
    </row>
    <row r="116" spans="2:8" x14ac:dyDescent="0.3">
      <c r="B116" s="47" t="s">
        <v>121</v>
      </c>
      <c r="C116" s="49">
        <v>214629.93900000001</v>
      </c>
      <c r="D116" s="30"/>
      <c r="E116" s="30"/>
      <c r="F116" s="4"/>
      <c r="G116" s="30"/>
      <c r="H116" s="9"/>
    </row>
    <row r="117" spans="2:8" x14ac:dyDescent="0.3">
      <c r="B117" s="57" t="s">
        <v>33</v>
      </c>
      <c r="C117" s="78"/>
      <c r="D117" s="30"/>
      <c r="E117" s="30"/>
      <c r="F117" s="4"/>
      <c r="G117" s="30"/>
      <c r="H117" s="9"/>
    </row>
    <row r="118" spans="2:8" x14ac:dyDescent="0.3">
      <c r="B118" s="47" t="s">
        <v>128</v>
      </c>
      <c r="C118" s="49">
        <v>4440.6810000000005</v>
      </c>
      <c r="D118" s="30"/>
      <c r="E118" s="30"/>
      <c r="F118" s="4"/>
      <c r="G118" s="30"/>
      <c r="H118" s="9"/>
    </row>
    <row r="119" spans="2:8" x14ac:dyDescent="0.3">
      <c r="B119" s="47" t="s">
        <v>129</v>
      </c>
      <c r="C119" s="49">
        <v>5619.9069999999992</v>
      </c>
      <c r="D119" s="30"/>
      <c r="E119" s="30"/>
      <c r="F119" s="4"/>
      <c r="G119" s="30"/>
      <c r="H119" s="9"/>
    </row>
    <row r="120" spans="2:8" x14ac:dyDescent="0.3">
      <c r="B120" s="47" t="s">
        <v>130</v>
      </c>
      <c r="C120" s="49">
        <v>5422.3110000000006</v>
      </c>
      <c r="D120" s="30"/>
      <c r="E120" s="30"/>
      <c r="F120" s="4"/>
      <c r="G120" s="30"/>
      <c r="H120" s="9"/>
    </row>
    <row r="121" spans="2:8" x14ac:dyDescent="0.3">
      <c r="B121" s="47" t="s">
        <v>131</v>
      </c>
      <c r="C121" s="49">
        <v>2561.4390000000003</v>
      </c>
      <c r="D121" s="30"/>
      <c r="E121" s="30"/>
      <c r="F121" s="4"/>
      <c r="G121" s="30"/>
      <c r="H121" s="9"/>
    </row>
    <row r="122" spans="2:8" x14ac:dyDescent="0.3">
      <c r="B122" s="47" t="s">
        <v>132</v>
      </c>
      <c r="C122" s="49">
        <v>75993.778999999995</v>
      </c>
      <c r="D122" s="30"/>
      <c r="E122" s="30"/>
      <c r="F122" s="4"/>
      <c r="G122" s="30"/>
      <c r="H122" s="9"/>
    </row>
    <row r="123" spans="2:8" x14ac:dyDescent="0.3">
      <c r="B123" s="57" t="s">
        <v>34</v>
      </c>
      <c r="C123" s="78"/>
      <c r="D123" s="30"/>
      <c r="E123" s="30"/>
      <c r="F123" s="4"/>
      <c r="G123" s="30"/>
      <c r="H123" s="9"/>
    </row>
    <row r="124" spans="2:8" x14ac:dyDescent="0.3">
      <c r="B124" s="47" t="s">
        <v>138</v>
      </c>
      <c r="C124" s="49">
        <v>63047.572</v>
      </c>
      <c r="D124" s="30"/>
      <c r="E124" s="30"/>
      <c r="F124" s="4"/>
      <c r="G124" s="30"/>
      <c r="H124" s="9"/>
    </row>
    <row r="125" spans="2:8" x14ac:dyDescent="0.3">
      <c r="B125" s="47" t="s">
        <v>139</v>
      </c>
      <c r="C125" s="49">
        <v>61868.472999999998</v>
      </c>
      <c r="D125" s="30"/>
      <c r="E125" s="30"/>
      <c r="F125" s="4"/>
      <c r="G125" s="30"/>
      <c r="H125" s="9"/>
    </row>
    <row r="126" spans="2:8" x14ac:dyDescent="0.3">
      <c r="B126" s="57" t="s">
        <v>35</v>
      </c>
      <c r="C126" s="78"/>
      <c r="D126" s="30"/>
      <c r="E126" s="30"/>
      <c r="F126" s="4"/>
      <c r="G126" s="30"/>
      <c r="H126" s="9"/>
    </row>
    <row r="127" spans="2:8" x14ac:dyDescent="0.3">
      <c r="B127" s="47" t="s">
        <v>158</v>
      </c>
      <c r="C127" s="49">
        <v>79958.990999999995</v>
      </c>
      <c r="D127" s="30"/>
      <c r="E127" s="30"/>
      <c r="F127" s="4"/>
      <c r="G127" s="30"/>
      <c r="H127" s="9"/>
    </row>
    <row r="128" spans="2:8" x14ac:dyDescent="0.3">
      <c r="B128" s="47" t="s">
        <v>159</v>
      </c>
      <c r="C128" s="49">
        <v>82387.252999999997</v>
      </c>
      <c r="D128" s="30"/>
      <c r="E128" s="30"/>
      <c r="F128" s="4"/>
      <c r="G128" s="30"/>
      <c r="H128" s="9"/>
    </row>
    <row r="129" spans="2:8" x14ac:dyDescent="0.3">
      <c r="B129" s="57" t="s">
        <v>4</v>
      </c>
      <c r="C129" s="78"/>
      <c r="D129" s="30"/>
      <c r="E129" s="30"/>
      <c r="F129" s="4"/>
      <c r="G129" s="30"/>
      <c r="H129" s="9"/>
    </row>
    <row r="130" spans="2:8" x14ac:dyDescent="0.3">
      <c r="B130" s="47" t="s">
        <v>151</v>
      </c>
      <c r="C130" s="49">
        <v>12031.66</v>
      </c>
      <c r="D130" s="30"/>
      <c r="E130" s="30"/>
      <c r="F130" s="4"/>
      <c r="G130" s="30"/>
      <c r="H130" s="9"/>
    </row>
    <row r="131" spans="2:8" x14ac:dyDescent="0.3">
      <c r="B131" s="57" t="s">
        <v>36</v>
      </c>
      <c r="C131" s="78"/>
      <c r="D131" s="30"/>
      <c r="E131" s="30"/>
      <c r="F131" s="4"/>
      <c r="G131" s="30"/>
      <c r="H131" s="9"/>
    </row>
    <row r="132" spans="2:8" x14ac:dyDescent="0.3">
      <c r="B132" s="47" t="s">
        <v>152</v>
      </c>
      <c r="C132" s="49">
        <v>32860.883000000002</v>
      </c>
      <c r="D132" s="30"/>
      <c r="E132" s="30"/>
      <c r="F132" s="4"/>
      <c r="G132" s="30"/>
      <c r="H132" s="9"/>
    </row>
    <row r="133" spans="2:8" x14ac:dyDescent="0.3">
      <c r="B133" s="57" t="s">
        <v>37</v>
      </c>
      <c r="C133" s="78"/>
      <c r="D133" s="30"/>
      <c r="E133" s="30"/>
      <c r="F133" s="4"/>
      <c r="G133" s="30"/>
      <c r="H133" s="9"/>
    </row>
    <row r="134" spans="2:8" x14ac:dyDescent="0.3">
      <c r="B134" s="47" t="s">
        <v>153</v>
      </c>
      <c r="C134" s="49">
        <v>14087.349</v>
      </c>
      <c r="D134" s="30"/>
      <c r="E134" s="30"/>
      <c r="F134" s="4"/>
      <c r="G134" s="30"/>
      <c r="H134" s="9"/>
    </row>
    <row r="135" spans="2:8" x14ac:dyDescent="0.3">
      <c r="B135" s="57" t="s">
        <v>38</v>
      </c>
      <c r="C135" s="78"/>
      <c r="D135" s="30"/>
      <c r="E135" s="30"/>
      <c r="F135" s="4"/>
      <c r="G135" s="30"/>
      <c r="H135" s="9"/>
    </row>
    <row r="136" spans="2:8" x14ac:dyDescent="0.3">
      <c r="B136" s="47" t="s">
        <v>140</v>
      </c>
      <c r="C136" s="49">
        <v>3466.1080000000002</v>
      </c>
      <c r="D136" s="30"/>
      <c r="E136" s="30"/>
      <c r="F136" s="4"/>
      <c r="G136" s="30"/>
      <c r="H136" s="9"/>
    </row>
    <row r="137" spans="2:8" x14ac:dyDescent="0.3">
      <c r="B137" s="47" t="s">
        <v>141</v>
      </c>
      <c r="C137" s="49">
        <v>3329.4500000000003</v>
      </c>
      <c r="D137" s="30"/>
      <c r="E137" s="30"/>
      <c r="F137" s="4"/>
      <c r="G137" s="30"/>
      <c r="H137" s="9"/>
    </row>
    <row r="138" spans="2:8" x14ac:dyDescent="0.3">
      <c r="B138" s="57" t="s">
        <v>39</v>
      </c>
      <c r="C138" s="78"/>
      <c r="D138" s="30"/>
      <c r="E138" s="30"/>
      <c r="F138" s="4"/>
      <c r="G138" s="30"/>
      <c r="H138" s="9"/>
    </row>
    <row r="139" spans="2:8" x14ac:dyDescent="0.3">
      <c r="B139" s="47" t="s">
        <v>154</v>
      </c>
      <c r="C139" s="49">
        <v>16078.901000000002</v>
      </c>
      <c r="D139" s="30"/>
      <c r="E139" s="30"/>
      <c r="F139" s="4"/>
      <c r="G139" s="30"/>
      <c r="H139" s="9"/>
    </row>
    <row r="140" spans="2:8" x14ac:dyDescent="0.3">
      <c r="B140" s="57" t="s">
        <v>5</v>
      </c>
      <c r="C140" s="78"/>
      <c r="D140" s="30"/>
      <c r="E140" s="30"/>
      <c r="F140" s="4"/>
      <c r="G140" s="30"/>
      <c r="H140" s="9"/>
    </row>
    <row r="141" spans="2:8" x14ac:dyDescent="0.3">
      <c r="B141" s="47" t="s">
        <v>338</v>
      </c>
      <c r="C141" s="49">
        <v>2307.6</v>
      </c>
      <c r="D141" s="30"/>
      <c r="E141" s="30"/>
      <c r="F141" s="4"/>
      <c r="G141" s="30"/>
      <c r="H141" s="9"/>
    </row>
    <row r="142" spans="2:8" x14ac:dyDescent="0.3">
      <c r="B142" s="47" t="s">
        <v>339</v>
      </c>
      <c r="C142" s="49">
        <v>2352.1</v>
      </c>
      <c r="D142" s="30"/>
      <c r="E142" s="30"/>
      <c r="F142" s="4"/>
      <c r="G142" s="30"/>
      <c r="H142" s="9"/>
    </row>
    <row r="143" spans="2:8" x14ac:dyDescent="0.3">
      <c r="B143" s="57" t="s">
        <v>40</v>
      </c>
      <c r="C143" s="78"/>
      <c r="D143" s="30"/>
      <c r="E143" s="30"/>
      <c r="F143" s="4"/>
      <c r="G143" s="30"/>
      <c r="H143" s="9"/>
    </row>
    <row r="144" spans="2:8" x14ac:dyDescent="0.3">
      <c r="B144" s="47" t="s">
        <v>135</v>
      </c>
      <c r="C144" s="49">
        <v>53982.859000000004</v>
      </c>
      <c r="D144" s="30"/>
      <c r="E144" s="30"/>
      <c r="F144" s="4"/>
      <c r="G144" s="30"/>
      <c r="H144" s="9"/>
    </row>
    <row r="145" spans="2:8" x14ac:dyDescent="0.3">
      <c r="B145" s="57" t="s">
        <v>6</v>
      </c>
      <c r="C145" s="78"/>
      <c r="D145" s="30"/>
      <c r="E145" s="30"/>
      <c r="F145" s="4"/>
      <c r="G145" s="30"/>
      <c r="H145" s="9"/>
    </row>
    <row r="146" spans="2:8" x14ac:dyDescent="0.3">
      <c r="B146" s="47" t="s">
        <v>331</v>
      </c>
      <c r="C146" s="49">
        <v>5921.3628000000017</v>
      </c>
      <c r="D146" s="30"/>
      <c r="E146" s="30"/>
      <c r="F146" s="4"/>
      <c r="G146" s="30"/>
      <c r="H146" s="9"/>
    </row>
    <row r="147" spans="2:8" x14ac:dyDescent="0.3">
      <c r="B147" s="47" t="s">
        <v>332</v>
      </c>
      <c r="C147" s="49">
        <v>6106.0889999999999</v>
      </c>
      <c r="D147" s="30"/>
      <c r="E147" s="30"/>
      <c r="F147" s="4"/>
      <c r="G147" s="30"/>
      <c r="H147" s="9"/>
    </row>
    <row r="148" spans="2:8" x14ac:dyDescent="0.3">
      <c r="B148" s="57" t="s">
        <v>2</v>
      </c>
      <c r="C148" s="78"/>
      <c r="D148" s="30"/>
      <c r="E148" s="30"/>
      <c r="F148" s="4"/>
      <c r="G148" s="30"/>
      <c r="H148" s="9"/>
    </row>
    <row r="149" spans="2:8" x14ac:dyDescent="0.3">
      <c r="B149" s="47" t="s">
        <v>122</v>
      </c>
      <c r="C149" s="49">
        <v>330698.88400000002</v>
      </c>
      <c r="D149" s="30"/>
      <c r="E149" s="30"/>
      <c r="F149" s="4"/>
      <c r="G149" s="30"/>
      <c r="H149" s="9"/>
    </row>
    <row r="150" spans="2:8" x14ac:dyDescent="0.3">
      <c r="B150" s="57" t="s">
        <v>42</v>
      </c>
      <c r="C150" s="78"/>
      <c r="D150" s="30"/>
      <c r="E150" s="30"/>
      <c r="F150" s="4"/>
      <c r="G150" s="30"/>
      <c r="H150" s="9"/>
    </row>
    <row r="151" spans="2:8" x14ac:dyDescent="0.3">
      <c r="B151" s="47" t="s">
        <v>133</v>
      </c>
      <c r="C151" s="49">
        <v>27181.951999999997</v>
      </c>
      <c r="D151" s="30"/>
      <c r="E151" s="30"/>
      <c r="F151" s="4"/>
      <c r="G151" s="30"/>
      <c r="H151" s="9"/>
    </row>
    <row r="152" spans="2:8" x14ac:dyDescent="0.3">
      <c r="B152" s="47" t="s">
        <v>134</v>
      </c>
      <c r="C152" s="49">
        <v>39690.658000000003</v>
      </c>
      <c r="D152" s="30"/>
      <c r="E152" s="30"/>
      <c r="F152" s="4"/>
      <c r="G152" s="30"/>
      <c r="H152" s="9"/>
    </row>
    <row r="153" spans="2:8" x14ac:dyDescent="0.3">
      <c r="B153" s="57" t="s">
        <v>43</v>
      </c>
      <c r="C153" s="78"/>
      <c r="D153" s="30"/>
      <c r="E153" s="30"/>
      <c r="F153" s="4"/>
      <c r="G153" s="30"/>
      <c r="H153" s="9"/>
    </row>
    <row r="154" spans="2:8" x14ac:dyDescent="0.3">
      <c r="B154" s="47" t="s">
        <v>124</v>
      </c>
      <c r="C154" s="49">
        <v>6632.0620000000017</v>
      </c>
      <c r="D154" s="30"/>
      <c r="E154" s="30"/>
      <c r="F154" s="4"/>
      <c r="G154" s="30"/>
      <c r="H154" s="9"/>
    </row>
    <row r="155" spans="2:8" x14ac:dyDescent="0.3">
      <c r="B155" s="57" t="s">
        <v>46</v>
      </c>
      <c r="C155" s="78"/>
      <c r="D155" s="30"/>
      <c r="E155" s="30"/>
      <c r="F155" s="4"/>
      <c r="G155" s="30"/>
      <c r="H155" s="9"/>
    </row>
    <row r="156" spans="2:8" x14ac:dyDescent="0.3">
      <c r="B156" s="47" t="s">
        <v>150</v>
      </c>
      <c r="C156" s="49">
        <v>155757.26200000002</v>
      </c>
      <c r="D156" s="30"/>
      <c r="E156" s="30"/>
      <c r="F156" s="4"/>
      <c r="G156" s="30"/>
      <c r="H156" s="9"/>
    </row>
    <row r="157" spans="2:8" x14ac:dyDescent="0.3">
      <c r="B157" s="57" t="s">
        <v>1</v>
      </c>
      <c r="C157" s="78"/>
      <c r="D157" s="30"/>
      <c r="E157" s="30"/>
      <c r="F157" s="4"/>
      <c r="G157" s="30"/>
      <c r="H157" s="9"/>
    </row>
    <row r="158" spans="2:8" x14ac:dyDescent="0.3">
      <c r="B158" s="47" t="s">
        <v>123</v>
      </c>
      <c r="C158" s="49">
        <v>9497.0040000000008</v>
      </c>
      <c r="D158" s="30"/>
      <c r="E158" s="30"/>
      <c r="F158" s="4"/>
      <c r="G158" s="30"/>
      <c r="H158" s="9"/>
    </row>
    <row r="159" spans="2:8" x14ac:dyDescent="0.3">
      <c r="F159" s="9"/>
    </row>
    <row r="160" spans="2:8" ht="28.8" x14ac:dyDescent="0.3">
      <c r="B160" s="84" t="s">
        <v>164</v>
      </c>
      <c r="C160" s="79" t="s">
        <v>165</v>
      </c>
      <c r="D160" s="99"/>
      <c r="E160" s="99"/>
      <c r="F160" s="4"/>
    </row>
    <row r="161" spans="2:6" x14ac:dyDescent="0.3">
      <c r="B161" s="7" t="s">
        <v>12</v>
      </c>
      <c r="C161" s="85">
        <f>+SUM(C162:C165)</f>
        <v>61193.049750000006</v>
      </c>
      <c r="D161" s="31"/>
      <c r="E161" s="31"/>
      <c r="F161" s="14"/>
    </row>
    <row r="162" spans="2:6" x14ac:dyDescent="0.3">
      <c r="B162" s="57" t="s">
        <v>13</v>
      </c>
      <c r="C162" s="78"/>
      <c r="D162" s="30"/>
      <c r="E162" s="30"/>
      <c r="F162" s="4"/>
    </row>
    <row r="163" spans="2:6" x14ac:dyDescent="0.3">
      <c r="B163" s="47" t="s">
        <v>191</v>
      </c>
      <c r="C163" s="49">
        <v>50538</v>
      </c>
    </row>
    <row r="164" spans="2:6" x14ac:dyDescent="0.3">
      <c r="B164" s="57" t="s">
        <v>17</v>
      </c>
      <c r="C164" s="78"/>
    </row>
    <row r="165" spans="2:6" x14ac:dyDescent="0.3">
      <c r="B165" s="47" t="s">
        <v>325</v>
      </c>
      <c r="C165" s="49">
        <v>10655.049750000002</v>
      </c>
    </row>
    <row r="167" spans="2:6" ht="28.8" x14ac:dyDescent="0.3">
      <c r="B167" s="84" t="s">
        <v>164</v>
      </c>
      <c r="C167" s="79" t="s">
        <v>165</v>
      </c>
    </row>
    <row r="168" spans="2:6" x14ac:dyDescent="0.3">
      <c r="B168" s="7" t="s">
        <v>8</v>
      </c>
      <c r="C168" s="85">
        <f>+SUM(C169:C171)</f>
        <v>34911.444000000003</v>
      </c>
    </row>
    <row r="169" spans="2:6" x14ac:dyDescent="0.3">
      <c r="B169" s="57" t="s">
        <v>9</v>
      </c>
      <c r="C169" s="78"/>
    </row>
    <row r="170" spans="2:6" x14ac:dyDescent="0.3">
      <c r="B170" s="47" t="s">
        <v>340</v>
      </c>
      <c r="C170" s="49">
        <v>13207.373</v>
      </c>
    </row>
    <row r="171" spans="2:6" x14ac:dyDescent="0.3">
      <c r="B171" s="47" t="s">
        <v>341</v>
      </c>
      <c r="C171" s="49">
        <v>21704.071000000004</v>
      </c>
    </row>
  </sheetData>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J168"/>
  <sheetViews>
    <sheetView zoomScaleNormal="100" workbookViewId="0"/>
  </sheetViews>
  <sheetFormatPr baseColWidth="10" defaultColWidth="9.109375" defaultRowHeight="14.4" x14ac:dyDescent="0.3"/>
  <cols>
    <col min="1" max="1" width="9.109375" style="1"/>
    <col min="2" max="2" width="40.109375" style="1" customWidth="1"/>
    <col min="3" max="3" width="12.5546875" style="1" customWidth="1"/>
    <col min="4" max="5" width="11.109375" style="1" customWidth="1"/>
    <col min="6" max="6" width="14.44140625" style="1" customWidth="1"/>
    <col min="7" max="7" width="15.33203125" style="1" customWidth="1"/>
    <col min="8" max="8" width="16.88671875" style="1" customWidth="1"/>
    <col min="9" max="16384" width="9.109375" style="1"/>
  </cols>
  <sheetData>
    <row r="3" spans="2:10" ht="23.4" x14ac:dyDescent="0.45">
      <c r="B3" s="286" t="s">
        <v>356</v>
      </c>
      <c r="D3" s="286">
        <v>2015</v>
      </c>
    </row>
    <row r="4" spans="2:10" x14ac:dyDescent="0.3">
      <c r="G4" s="9"/>
      <c r="H4" s="9"/>
      <c r="I4" s="9"/>
      <c r="J4" s="9"/>
    </row>
    <row r="5" spans="2:10" x14ac:dyDescent="0.3">
      <c r="G5" s="9"/>
      <c r="H5" s="9"/>
      <c r="I5" s="9"/>
      <c r="J5" s="9"/>
    </row>
    <row r="6" spans="2:10" x14ac:dyDescent="0.3">
      <c r="B6" s="86" t="s">
        <v>160</v>
      </c>
      <c r="C6" s="87">
        <f>+C7+C9</f>
        <v>8248316.8230674472</v>
      </c>
      <c r="D6" s="32"/>
      <c r="E6" s="32"/>
      <c r="F6" s="32"/>
      <c r="G6" s="32"/>
      <c r="H6" s="9"/>
      <c r="I6" s="9"/>
      <c r="J6" s="9"/>
    </row>
    <row r="7" spans="2:10" x14ac:dyDescent="0.3">
      <c r="B7" s="88" t="s">
        <v>161</v>
      </c>
      <c r="C7" s="90">
        <f>+C90+C159+C166</f>
        <v>2530134.7848262745</v>
      </c>
      <c r="D7" s="98"/>
      <c r="E7" s="98"/>
      <c r="F7" s="98"/>
      <c r="G7" s="32"/>
      <c r="H7" s="9"/>
      <c r="I7" s="9"/>
      <c r="J7" s="9"/>
    </row>
    <row r="8" spans="2:10" x14ac:dyDescent="0.3">
      <c r="B8" s="88" t="s">
        <v>76</v>
      </c>
      <c r="C8" s="91">
        <f>+C7/C6</f>
        <v>0.30674558689967352</v>
      </c>
      <c r="D8" s="94"/>
      <c r="E8" s="94"/>
      <c r="F8" s="94"/>
      <c r="G8" s="32"/>
      <c r="H8" s="9"/>
      <c r="I8" s="9"/>
      <c r="J8" s="9"/>
    </row>
    <row r="9" spans="2:10" x14ac:dyDescent="0.3">
      <c r="B9" s="88" t="s">
        <v>162</v>
      </c>
      <c r="C9" s="90">
        <f>+C22</f>
        <v>5718182.0382411722</v>
      </c>
      <c r="D9" s="98"/>
      <c r="E9" s="98"/>
      <c r="F9" s="98"/>
      <c r="G9" s="32"/>
      <c r="H9" s="9"/>
      <c r="I9" s="9"/>
      <c r="J9" s="9"/>
    </row>
    <row r="10" spans="2:10" x14ac:dyDescent="0.3">
      <c r="B10" s="89" t="s">
        <v>77</v>
      </c>
      <c r="C10" s="92">
        <f>+C9/C6</f>
        <v>0.69325441310032643</v>
      </c>
      <c r="D10" s="94"/>
      <c r="E10" s="94"/>
      <c r="F10" s="94"/>
      <c r="G10" s="33"/>
      <c r="H10" s="9"/>
      <c r="I10" s="9"/>
      <c r="J10" s="9"/>
    </row>
    <row r="11" spans="2:10" x14ac:dyDescent="0.3">
      <c r="B11" s="93"/>
      <c r="C11" s="94"/>
      <c r="D11" s="94"/>
      <c r="E11" s="94"/>
      <c r="F11" s="94"/>
      <c r="G11" s="33"/>
      <c r="H11" s="9"/>
      <c r="I11" s="9"/>
      <c r="J11" s="9"/>
    </row>
    <row r="12" spans="2:10" x14ac:dyDescent="0.3">
      <c r="B12" s="86" t="s">
        <v>273</v>
      </c>
      <c r="C12" s="174"/>
      <c r="D12" s="94"/>
      <c r="E12" s="94"/>
      <c r="F12" s="94"/>
      <c r="G12" s="33"/>
      <c r="H12" s="9"/>
      <c r="I12" s="9"/>
      <c r="J12" s="9"/>
    </row>
    <row r="13" spans="2:10" x14ac:dyDescent="0.3">
      <c r="B13" s="178" t="s">
        <v>115</v>
      </c>
      <c r="C13" s="175">
        <v>3412.14</v>
      </c>
      <c r="D13" s="94"/>
      <c r="E13" s="94"/>
      <c r="F13" s="94"/>
      <c r="G13" s="33"/>
      <c r="H13" s="9"/>
      <c r="I13" s="9"/>
      <c r="J13" s="9"/>
    </row>
    <row r="14" spans="2:10" ht="15.6" x14ac:dyDescent="0.3">
      <c r="B14" s="178" t="s">
        <v>272</v>
      </c>
      <c r="C14" s="176">
        <v>5.6099999999999997E-2</v>
      </c>
      <c r="D14" s="94"/>
      <c r="E14" s="94"/>
      <c r="F14" s="94"/>
      <c r="G14" s="33"/>
      <c r="H14" s="9"/>
      <c r="I14" s="9"/>
      <c r="J14" s="9"/>
    </row>
    <row r="15" spans="2:10" ht="14.25" customHeight="1" x14ac:dyDescent="0.3">
      <c r="B15" s="179" t="s">
        <v>116</v>
      </c>
      <c r="C15" s="177">
        <v>3.6</v>
      </c>
      <c r="D15" s="94"/>
      <c r="E15" s="94"/>
      <c r="F15" s="94"/>
      <c r="G15" s="33"/>
      <c r="H15" s="9"/>
      <c r="I15" s="9"/>
      <c r="J15" s="9"/>
    </row>
    <row r="16" spans="2:10" ht="15" thickBot="1" x14ac:dyDescent="0.35">
      <c r="B16" s="93"/>
      <c r="C16" s="94"/>
      <c r="D16" s="94"/>
      <c r="E16" s="94"/>
      <c r="F16" s="94"/>
      <c r="G16" s="33"/>
      <c r="H16" s="9"/>
      <c r="I16" s="9"/>
      <c r="J16" s="9"/>
    </row>
    <row r="17" spans="2:10" ht="16.2" thickBot="1" x14ac:dyDescent="0.4">
      <c r="B17" s="96" t="s">
        <v>171</v>
      </c>
      <c r="C17" s="97">
        <f>+H22/C6</f>
        <v>0.39789914864278025</v>
      </c>
      <c r="D17" s="95"/>
      <c r="E17" s="95"/>
      <c r="F17" s="95"/>
      <c r="G17" s="33"/>
      <c r="H17" s="9"/>
      <c r="I17" s="9"/>
      <c r="J17" s="9"/>
    </row>
    <row r="18" spans="2:10" ht="15" thickBot="1" x14ac:dyDescent="0.35">
      <c r="B18" s="93"/>
      <c r="C18" s="95"/>
      <c r="D18" s="95"/>
      <c r="E18" s="95"/>
      <c r="F18" s="95"/>
      <c r="G18" s="33"/>
      <c r="H18" s="9"/>
      <c r="I18" s="9"/>
      <c r="J18" s="9"/>
    </row>
    <row r="19" spans="2:10" ht="16.2" thickBot="1" x14ac:dyDescent="0.4">
      <c r="B19" s="96" t="s">
        <v>171</v>
      </c>
      <c r="C19" s="97">
        <f>+H22/C9</f>
        <v>0.57395833495429482</v>
      </c>
      <c r="D19" s="95"/>
      <c r="E19" s="95"/>
      <c r="F19" s="95"/>
      <c r="G19" s="33"/>
      <c r="H19" s="9"/>
      <c r="I19" s="9"/>
      <c r="J19" s="9"/>
    </row>
    <row r="20" spans="2:10" x14ac:dyDescent="0.3">
      <c r="B20" s="93"/>
      <c r="C20" s="95"/>
      <c r="D20" s="95"/>
      <c r="E20" s="95"/>
      <c r="F20" s="95"/>
      <c r="G20" s="33"/>
      <c r="H20" s="9"/>
      <c r="I20" s="9"/>
      <c r="J20" s="9"/>
    </row>
    <row r="21" spans="2:10" ht="33" customHeight="1" x14ac:dyDescent="0.35">
      <c r="B21" s="81" t="s">
        <v>163</v>
      </c>
      <c r="C21" s="79" t="s">
        <v>197</v>
      </c>
      <c r="D21" s="79" t="s">
        <v>168</v>
      </c>
      <c r="E21" s="79" t="s">
        <v>169</v>
      </c>
      <c r="F21" s="79" t="s">
        <v>170</v>
      </c>
      <c r="G21" s="79" t="s">
        <v>209</v>
      </c>
      <c r="H21" s="80" t="s">
        <v>208</v>
      </c>
    </row>
    <row r="22" spans="2:10" x14ac:dyDescent="0.3">
      <c r="B22" s="16" t="s">
        <v>15</v>
      </c>
      <c r="C22" s="58">
        <f>SUM(C23:C87)</f>
        <v>5718182.0382411722</v>
      </c>
      <c r="D22" s="58"/>
      <c r="E22" s="58"/>
      <c r="F22" s="58"/>
      <c r="G22" s="17"/>
      <c r="H22" s="74">
        <f>SUM(H23:H87)</f>
        <v>3281998.2416344592</v>
      </c>
    </row>
    <row r="23" spans="2:10" x14ac:dyDescent="0.3">
      <c r="B23" s="75" t="s">
        <v>317</v>
      </c>
      <c r="C23" s="61"/>
      <c r="D23" s="106">
        <f>+SUM(D24)</f>
        <v>17.5</v>
      </c>
      <c r="E23" s="54">
        <f>+E24</f>
        <v>9682</v>
      </c>
      <c r="F23" s="51">
        <f t="shared" ref="F23:F86" si="0">1/(E23/$C$13)</f>
        <v>0.35242098739929767</v>
      </c>
      <c r="G23" s="46">
        <f t="shared" ref="G23:G86" si="1">+$C$14*$C$15/F23</f>
        <v>0.57306462220190257</v>
      </c>
      <c r="H23" s="65">
        <f>+G23*C23</f>
        <v>0</v>
      </c>
    </row>
    <row r="24" spans="2:10" x14ac:dyDescent="0.3">
      <c r="B24" s="76" t="s">
        <v>318</v>
      </c>
      <c r="C24" s="49">
        <v>62901.071699999942</v>
      </c>
      <c r="D24" s="50">
        <v>17.5</v>
      </c>
      <c r="E24" s="49">
        <v>9682</v>
      </c>
      <c r="F24" s="55">
        <f>1/(E24/$C$13)</f>
        <v>0.35242098739929767</v>
      </c>
      <c r="G24" s="59">
        <f>+$C$14*$C$15/F24</f>
        <v>0.57306462220190257</v>
      </c>
      <c r="H24" s="60">
        <f>+G24*C24</f>
        <v>36046.378889855252</v>
      </c>
    </row>
    <row r="25" spans="2:10" x14ac:dyDescent="0.3">
      <c r="B25" s="76" t="s">
        <v>324</v>
      </c>
      <c r="C25" s="49">
        <v>230006.70250000007</v>
      </c>
      <c r="D25" s="50">
        <v>32.4</v>
      </c>
      <c r="E25" s="49">
        <v>8140</v>
      </c>
      <c r="F25" s="55">
        <f>1/(E25/$C$13)</f>
        <v>0.41918181818181821</v>
      </c>
      <c r="G25" s="59">
        <f>+$C$14*$C$15/F25</f>
        <v>0.48179570592062454</v>
      </c>
      <c r="H25" s="60">
        <f>+G25*C25</f>
        <v>110816.24159746261</v>
      </c>
    </row>
    <row r="26" spans="2:10" x14ac:dyDescent="0.3">
      <c r="B26" s="75" t="s">
        <v>19</v>
      </c>
      <c r="C26" s="61"/>
      <c r="D26" s="106">
        <f>+SUM(D27:D37)</f>
        <v>41</v>
      </c>
      <c r="E26" s="54">
        <f>SUMPRODUCT(D27:D37,E27:E37)/D26</f>
        <v>10376.951219512195</v>
      </c>
      <c r="F26" s="51">
        <f t="shared" si="0"/>
        <v>0.32881912305649247</v>
      </c>
      <c r="G26" s="46">
        <f t="shared" si="1"/>
        <v>0.6141978548045165</v>
      </c>
      <c r="H26" s="65">
        <f>+G26*C26</f>
        <v>0</v>
      </c>
    </row>
    <row r="27" spans="2:10" x14ac:dyDescent="0.3">
      <c r="B27" s="76" t="s">
        <v>87</v>
      </c>
      <c r="C27" s="49">
        <v>903.1293569275839</v>
      </c>
      <c r="D27" s="50">
        <v>3</v>
      </c>
      <c r="E27" s="49">
        <v>10201</v>
      </c>
      <c r="F27" s="55">
        <f>1/(E27/$C$13)</f>
        <v>0.33449073620233311</v>
      </c>
      <c r="G27" s="59">
        <f>+$C$14*$C$15/F27</f>
        <v>0.60378353760396697</v>
      </c>
      <c r="H27" s="60">
        <f>+G27*C27</f>
        <v>545.29463803973238</v>
      </c>
    </row>
    <row r="28" spans="2:10" x14ac:dyDescent="0.3">
      <c r="B28" s="76" t="s">
        <v>88</v>
      </c>
      <c r="C28" s="49">
        <v>911.2479539279999</v>
      </c>
      <c r="D28" s="50">
        <v>3</v>
      </c>
      <c r="E28" s="49">
        <v>10201</v>
      </c>
      <c r="F28" s="55">
        <f t="shared" si="0"/>
        <v>0.33449073620233311</v>
      </c>
      <c r="G28" s="59">
        <f t="shared" si="1"/>
        <v>0.60378353760396697</v>
      </c>
      <c r="H28" s="60">
        <f t="shared" ref="H28:H37" si="2">+G28*C28</f>
        <v>550.19651325702444</v>
      </c>
    </row>
    <row r="29" spans="2:10" x14ac:dyDescent="0.3">
      <c r="B29" s="76" t="s">
        <v>89</v>
      </c>
      <c r="C29" s="49">
        <v>742.68149999999991</v>
      </c>
      <c r="D29" s="50">
        <v>3</v>
      </c>
      <c r="E29" s="49">
        <v>10201</v>
      </c>
      <c r="F29" s="55">
        <f t="shared" si="0"/>
        <v>0.33449073620233311</v>
      </c>
      <c r="G29" s="59">
        <f t="shared" si="1"/>
        <v>0.60378353760396697</v>
      </c>
      <c r="H29" s="60">
        <f t="shared" si="2"/>
        <v>448.41886338302055</v>
      </c>
    </row>
    <row r="30" spans="2:10" x14ac:dyDescent="0.3">
      <c r="B30" s="76" t="s">
        <v>92</v>
      </c>
      <c r="C30" s="49">
        <v>83446.760000000184</v>
      </c>
      <c r="D30" s="50">
        <v>18</v>
      </c>
      <c r="E30" s="49">
        <v>11497</v>
      </c>
      <c r="F30" s="55">
        <f t="shared" si="0"/>
        <v>0.29678524832565017</v>
      </c>
      <c r="G30" s="59">
        <f t="shared" si="1"/>
        <v>0.68049204311663647</v>
      </c>
      <c r="H30" s="60">
        <f t="shared" si="2"/>
        <v>56784.856203863739</v>
      </c>
    </row>
    <row r="31" spans="2:10" x14ac:dyDescent="0.3">
      <c r="B31" s="76" t="s">
        <v>93</v>
      </c>
      <c r="C31" s="49">
        <v>8423.3989699999547</v>
      </c>
      <c r="D31" s="50">
        <v>2</v>
      </c>
      <c r="E31" s="49">
        <v>9050</v>
      </c>
      <c r="F31" s="55">
        <f t="shared" si="0"/>
        <v>0.37703204419889497</v>
      </c>
      <c r="G31" s="59">
        <f t="shared" si="1"/>
        <v>0.53565738803214413</v>
      </c>
      <c r="H31" s="60">
        <f t="shared" si="2"/>
        <v>4512.0558906228289</v>
      </c>
    </row>
    <row r="32" spans="2:10" x14ac:dyDescent="0.3">
      <c r="B32" s="76" t="s">
        <v>94</v>
      </c>
      <c r="C32" s="49"/>
      <c r="D32" s="50">
        <v>2</v>
      </c>
      <c r="E32" s="49">
        <v>9050</v>
      </c>
      <c r="F32" s="55">
        <f t="shared" si="0"/>
        <v>0.37703204419889497</v>
      </c>
      <c r="G32" s="59">
        <f t="shared" si="1"/>
        <v>0.53565738803214413</v>
      </c>
      <c r="H32" s="60">
        <f t="shared" si="2"/>
        <v>0</v>
      </c>
    </row>
    <row r="33" spans="2:8" x14ac:dyDescent="0.3">
      <c r="B33" s="76" t="s">
        <v>95</v>
      </c>
      <c r="C33" s="49">
        <v>4874.0930399999925</v>
      </c>
      <c r="D33" s="50">
        <v>2</v>
      </c>
      <c r="E33" s="49">
        <v>9050</v>
      </c>
      <c r="F33" s="55">
        <f t="shared" si="0"/>
        <v>0.37703204419889497</v>
      </c>
      <c r="G33" s="59">
        <f t="shared" si="1"/>
        <v>0.53565738803214413</v>
      </c>
      <c r="H33" s="60">
        <f t="shared" si="2"/>
        <v>2610.8439468320489</v>
      </c>
    </row>
    <row r="34" spans="2:8" x14ac:dyDescent="0.3">
      <c r="B34" s="76" t="s">
        <v>96</v>
      </c>
      <c r="C34" s="49">
        <v>7073.2160740378231</v>
      </c>
      <c r="D34" s="50">
        <v>2</v>
      </c>
      <c r="E34" s="49">
        <v>9050</v>
      </c>
      <c r="F34" s="55">
        <f t="shared" si="0"/>
        <v>0.37703204419889497</v>
      </c>
      <c r="G34" s="59">
        <f t="shared" si="1"/>
        <v>0.53565738803214413</v>
      </c>
      <c r="H34" s="60">
        <f t="shared" si="2"/>
        <v>3788.8204472060775</v>
      </c>
    </row>
    <row r="35" spans="2:8" x14ac:dyDescent="0.3">
      <c r="B35" s="76" t="s">
        <v>97</v>
      </c>
      <c r="C35" s="49">
        <v>5371.6201999999894</v>
      </c>
      <c r="D35" s="50">
        <v>2</v>
      </c>
      <c r="E35" s="49">
        <v>9050</v>
      </c>
      <c r="F35" s="55">
        <f t="shared" si="0"/>
        <v>0.37703204419889497</v>
      </c>
      <c r="G35" s="59">
        <f t="shared" si="1"/>
        <v>0.53565738803214413</v>
      </c>
      <c r="H35" s="60">
        <f t="shared" si="2"/>
        <v>2877.3480458326981</v>
      </c>
    </row>
    <row r="36" spans="2:8" x14ac:dyDescent="0.3">
      <c r="B36" s="76" t="s">
        <v>98</v>
      </c>
      <c r="C36" s="49">
        <v>0</v>
      </c>
      <c r="D36" s="50">
        <v>2</v>
      </c>
      <c r="E36" s="49">
        <v>9050</v>
      </c>
      <c r="F36" s="55">
        <f t="shared" si="0"/>
        <v>0.37703204419889497</v>
      </c>
      <c r="G36" s="59">
        <f t="shared" si="1"/>
        <v>0.53565738803214413</v>
      </c>
      <c r="H36" s="60">
        <f t="shared" si="2"/>
        <v>0</v>
      </c>
    </row>
    <row r="37" spans="2:8" x14ac:dyDescent="0.3">
      <c r="B37" s="76" t="s">
        <v>99</v>
      </c>
      <c r="C37" s="53">
        <v>7564.2671999999584</v>
      </c>
      <c r="D37" s="50">
        <v>2</v>
      </c>
      <c r="E37" s="49">
        <v>9050</v>
      </c>
      <c r="F37" s="56">
        <f t="shared" si="0"/>
        <v>0.37703204419889497</v>
      </c>
      <c r="G37" s="59">
        <f t="shared" si="1"/>
        <v>0.53565738803214413</v>
      </c>
      <c r="H37" s="60">
        <f t="shared" si="2"/>
        <v>4051.8556107291979</v>
      </c>
    </row>
    <row r="38" spans="2:8" x14ac:dyDescent="0.3">
      <c r="B38" s="77" t="s">
        <v>20</v>
      </c>
      <c r="C38" s="61"/>
      <c r="D38" s="107">
        <f>+SUM(D39:D40)</f>
        <v>90</v>
      </c>
      <c r="E38" s="44">
        <f>SUMPRODUCT(D39:D40,E39:E40)/D38</f>
        <v>9032.5</v>
      </c>
      <c r="F38" s="51">
        <f t="shared" si="0"/>
        <v>0.37776252421810125</v>
      </c>
      <c r="G38" s="46">
        <f t="shared" si="1"/>
        <v>0.53462158645307645</v>
      </c>
      <c r="H38" s="65">
        <f>+G38*C38</f>
        <v>0</v>
      </c>
    </row>
    <row r="39" spans="2:8" x14ac:dyDescent="0.3">
      <c r="B39" s="76" t="s">
        <v>113</v>
      </c>
      <c r="C39" s="49">
        <v>253280.23099999985</v>
      </c>
      <c r="D39" s="50">
        <v>45</v>
      </c>
      <c r="E39" s="49">
        <v>9004</v>
      </c>
      <c r="F39" s="55">
        <f t="shared" si="0"/>
        <v>0.37895824078187468</v>
      </c>
      <c r="G39" s="59">
        <f t="shared" si="1"/>
        <v>0.53293470959573763</v>
      </c>
      <c r="H39" s="60">
        <f t="shared" ref="H39:H41" si="3">+G39*C39</f>
        <v>134981.82635432627</v>
      </c>
    </row>
    <row r="40" spans="2:8" x14ac:dyDescent="0.3">
      <c r="B40" s="76" t="s">
        <v>114</v>
      </c>
      <c r="C40" s="49">
        <v>33037.908999999891</v>
      </c>
      <c r="D40" s="50">
        <v>45</v>
      </c>
      <c r="E40" s="49">
        <v>9061</v>
      </c>
      <c r="F40" s="56">
        <f t="shared" si="0"/>
        <v>0.37657432954420039</v>
      </c>
      <c r="G40" s="59">
        <f t="shared" si="1"/>
        <v>0.53630846331041515</v>
      </c>
      <c r="H40" s="60">
        <f t="shared" si="3"/>
        <v>17718.510206779276</v>
      </c>
    </row>
    <row r="41" spans="2:8" x14ac:dyDescent="0.3">
      <c r="B41" s="76" t="s">
        <v>326</v>
      </c>
      <c r="C41" s="49">
        <v>313954.44199999998</v>
      </c>
      <c r="D41" s="50">
        <v>49.02</v>
      </c>
      <c r="E41" s="49">
        <v>8814</v>
      </c>
      <c r="F41" s="56">
        <f t="shared" si="0"/>
        <v>0.38712729748127978</v>
      </c>
      <c r="G41" s="59">
        <f t="shared" si="1"/>
        <v>0.52168886388014557</v>
      </c>
      <c r="H41" s="60">
        <f t="shared" si="3"/>
        <v>163786.53615710506</v>
      </c>
    </row>
    <row r="42" spans="2:8" x14ac:dyDescent="0.3">
      <c r="B42" s="77" t="s">
        <v>18</v>
      </c>
      <c r="C42" s="44">
        <v>516330.15</v>
      </c>
      <c r="D42" s="107">
        <f>+SUM(D43:D44)</f>
        <v>112</v>
      </c>
      <c r="E42" s="44">
        <f>SUMPRODUCT(D43:D45,E43:E45)/D42</f>
        <v>11949.967857142856</v>
      </c>
      <c r="F42" s="51">
        <f>1/(E42/$C$13)</f>
        <v>0.2855354960608083</v>
      </c>
      <c r="G42" s="46">
        <f t="shared" si="1"/>
        <v>0.70730260435637793</v>
      </c>
      <c r="H42" s="101">
        <f>+G42*C42</f>
        <v>365201.65980271931</v>
      </c>
    </row>
    <row r="43" spans="2:8" x14ac:dyDescent="0.3">
      <c r="B43" s="76" t="s">
        <v>105</v>
      </c>
      <c r="C43" s="111"/>
      <c r="D43" s="50">
        <v>56</v>
      </c>
      <c r="E43" s="49">
        <v>9830</v>
      </c>
      <c r="F43" s="55">
        <f t="shared" si="0"/>
        <v>0.34711495422177008</v>
      </c>
      <c r="G43" s="59">
        <f t="shared" si="1"/>
        <v>0.58182454412773221</v>
      </c>
      <c r="H43" s="265"/>
    </row>
    <row r="44" spans="2:8" x14ac:dyDescent="0.3">
      <c r="B44" s="76" t="s">
        <v>106</v>
      </c>
      <c r="C44" s="269"/>
      <c r="D44" s="50">
        <v>56</v>
      </c>
      <c r="E44" s="49">
        <v>9830</v>
      </c>
      <c r="F44" s="55">
        <f t="shared" si="0"/>
        <v>0.34711495422177008</v>
      </c>
      <c r="G44" s="59">
        <f t="shared" si="1"/>
        <v>0.58182454412773221</v>
      </c>
      <c r="H44" s="71"/>
    </row>
    <row r="45" spans="2:8" x14ac:dyDescent="0.3">
      <c r="B45" s="76" t="s">
        <v>315</v>
      </c>
      <c r="C45" s="53"/>
      <c r="D45" s="50">
        <v>24.4</v>
      </c>
      <c r="E45" s="49">
        <v>9731</v>
      </c>
      <c r="F45" s="55">
        <f t="shared" si="0"/>
        <v>0.35064638783269964</v>
      </c>
      <c r="G45" s="59">
        <f t="shared" si="1"/>
        <v>0.57596486662329205</v>
      </c>
      <c r="H45" s="60">
        <f t="shared" ref="H45" si="4">+G45*C45</f>
        <v>0</v>
      </c>
    </row>
    <row r="46" spans="2:8" x14ac:dyDescent="0.3">
      <c r="B46" s="77" t="s">
        <v>23</v>
      </c>
      <c r="C46" s="44"/>
      <c r="D46" s="107">
        <f>+SUM(D47:D48)</f>
        <v>46</v>
      </c>
      <c r="E46" s="44">
        <f>SUMPRODUCT(D47:D48,E47:E48)/D46</f>
        <v>9958</v>
      </c>
      <c r="F46" s="51">
        <f t="shared" si="0"/>
        <v>0.34265314320144602</v>
      </c>
      <c r="G46" s="46">
        <f t="shared" si="1"/>
        <v>0.58940069282034158</v>
      </c>
      <c r="H46" s="101">
        <f>+G46*C46</f>
        <v>0</v>
      </c>
    </row>
    <row r="47" spans="2:8" x14ac:dyDescent="0.3">
      <c r="B47" s="76" t="s">
        <v>107</v>
      </c>
      <c r="C47" s="53">
        <v>75240</v>
      </c>
      <c r="D47" s="50">
        <v>23</v>
      </c>
      <c r="E47" s="49">
        <v>9964</v>
      </c>
      <c r="F47" s="55">
        <f t="shared" si="0"/>
        <v>0.3424468085106383</v>
      </c>
      <c r="G47" s="59">
        <f t="shared" si="1"/>
        <v>0.58975582479030753</v>
      </c>
      <c r="H47" s="60">
        <f t="shared" ref="H47:H50" si="5">+G47*C47</f>
        <v>44373.228257222741</v>
      </c>
    </row>
    <row r="48" spans="2:8" x14ac:dyDescent="0.3">
      <c r="B48" s="76" t="s">
        <v>108</v>
      </c>
      <c r="C48" s="53">
        <v>85293</v>
      </c>
      <c r="D48" s="50">
        <v>23</v>
      </c>
      <c r="E48" s="49">
        <v>9952</v>
      </c>
      <c r="F48" s="55">
        <f t="shared" si="0"/>
        <v>0.34285972668810288</v>
      </c>
      <c r="G48" s="59">
        <f t="shared" si="1"/>
        <v>0.5890455608503754</v>
      </c>
      <c r="H48" s="60">
        <f t="shared" si="5"/>
        <v>50241.463021611067</v>
      </c>
    </row>
    <row r="49" spans="2:8" x14ac:dyDescent="0.3">
      <c r="B49" s="76" t="s">
        <v>109</v>
      </c>
      <c r="C49" s="53">
        <v>74301</v>
      </c>
      <c r="D49" s="50">
        <v>25</v>
      </c>
      <c r="E49" s="49">
        <v>9969</v>
      </c>
      <c r="F49" s="55">
        <f t="shared" si="0"/>
        <v>0.34227505266325609</v>
      </c>
      <c r="G49" s="59">
        <f t="shared" si="1"/>
        <v>0.59005176809861259</v>
      </c>
      <c r="H49" s="60">
        <f t="shared" si="5"/>
        <v>43841.436421495011</v>
      </c>
    </row>
    <row r="50" spans="2:8" x14ac:dyDescent="0.3">
      <c r="B50" s="76" t="s">
        <v>110</v>
      </c>
      <c r="C50" s="53">
        <v>89367</v>
      </c>
      <c r="D50" s="50">
        <v>25</v>
      </c>
      <c r="E50" s="49">
        <v>10017</v>
      </c>
      <c r="F50" s="55">
        <f t="shared" si="0"/>
        <v>0.34063492063492062</v>
      </c>
      <c r="G50" s="59">
        <f t="shared" si="1"/>
        <v>0.59289282385834108</v>
      </c>
      <c r="H50" s="60">
        <f t="shared" si="5"/>
        <v>52985.052989748365</v>
      </c>
    </row>
    <row r="51" spans="2:8" x14ac:dyDescent="0.3">
      <c r="B51" s="77" t="s">
        <v>16</v>
      </c>
      <c r="C51" s="61"/>
      <c r="D51" s="107">
        <f>+SUM(D52:D59)</f>
        <v>368</v>
      </c>
      <c r="E51" s="44">
        <f>SUMPRODUCT(D52:D59,E52:E59)/D51</f>
        <v>9872.152173913044</v>
      </c>
      <c r="F51" s="51">
        <f t="shared" si="0"/>
        <v>0.34563284073117395</v>
      </c>
      <c r="G51" s="46">
        <f t="shared" si="1"/>
        <v>0.58431947488774738</v>
      </c>
      <c r="H51" s="65">
        <f>+G51*C51</f>
        <v>0</v>
      </c>
    </row>
    <row r="52" spans="2:8" x14ac:dyDescent="0.3">
      <c r="B52" s="76" t="s">
        <v>78</v>
      </c>
      <c r="C52" s="49">
        <v>14091.300000000003</v>
      </c>
      <c r="D52" s="50">
        <v>22</v>
      </c>
      <c r="E52" s="49">
        <v>11971</v>
      </c>
      <c r="F52" s="55">
        <f t="shared" si="0"/>
        <v>0.2850338317600869</v>
      </c>
      <c r="G52" s="59">
        <f t="shared" si="1"/>
        <v>0.70854746874395536</v>
      </c>
      <c r="H52" s="60">
        <f t="shared" ref="H52:H59" si="6">+G52*C52</f>
        <v>9984.3549463116997</v>
      </c>
    </row>
    <row r="53" spans="2:8" x14ac:dyDescent="0.3">
      <c r="B53" s="76" t="s">
        <v>79</v>
      </c>
      <c r="C53" s="49">
        <v>10209.6</v>
      </c>
      <c r="D53" s="50">
        <v>20</v>
      </c>
      <c r="E53" s="49">
        <v>12595</v>
      </c>
      <c r="F53" s="55">
        <f t="shared" si="0"/>
        <v>0.27091226677252878</v>
      </c>
      <c r="G53" s="59">
        <f t="shared" si="1"/>
        <v>0.74548119362042586</v>
      </c>
      <c r="H53" s="60">
        <f t="shared" si="6"/>
        <v>7611.0647943870999</v>
      </c>
    </row>
    <row r="54" spans="2:8" x14ac:dyDescent="0.3">
      <c r="B54" s="76" t="s">
        <v>80</v>
      </c>
      <c r="C54" s="49">
        <v>13814.243999999999</v>
      </c>
      <c r="D54" s="50">
        <v>20</v>
      </c>
      <c r="E54" s="49">
        <v>12834</v>
      </c>
      <c r="F54" s="55">
        <f t="shared" si="0"/>
        <v>0.26586722767648435</v>
      </c>
      <c r="G54" s="59">
        <f t="shared" si="1"/>
        <v>0.75962728375740729</v>
      </c>
      <c r="H54" s="60">
        <f t="shared" si="6"/>
        <v>10493.676646882061</v>
      </c>
    </row>
    <row r="55" spans="2:8" x14ac:dyDescent="0.3">
      <c r="B55" s="76" t="s">
        <v>81</v>
      </c>
      <c r="C55" s="49">
        <v>49910.714999999997</v>
      </c>
      <c r="D55" s="50">
        <v>21</v>
      </c>
      <c r="E55" s="49">
        <v>12644</v>
      </c>
      <c r="F55" s="56">
        <f t="shared" si="0"/>
        <v>0.26986238532110091</v>
      </c>
      <c r="G55" s="59">
        <f t="shared" si="1"/>
        <v>0.74838143804181545</v>
      </c>
      <c r="H55" s="60">
        <f t="shared" si="6"/>
        <v>37352.252665395208</v>
      </c>
    </row>
    <row r="56" spans="2:8" x14ac:dyDescent="0.3">
      <c r="B56" s="76" t="s">
        <v>82</v>
      </c>
      <c r="C56" s="49">
        <v>459226.69199999992</v>
      </c>
      <c r="D56" s="50">
        <v>63</v>
      </c>
      <c r="E56" s="49">
        <v>10070</v>
      </c>
      <c r="F56" s="100">
        <f t="shared" si="0"/>
        <v>0.33884210526315789</v>
      </c>
      <c r="G56" s="102">
        <f t="shared" si="1"/>
        <v>0.59602982292637463</v>
      </c>
      <c r="H56" s="103">
        <f t="shared" si="6"/>
        <v>273712.80391582474</v>
      </c>
    </row>
    <row r="57" spans="2:8" x14ac:dyDescent="0.3">
      <c r="B57" s="76" t="s">
        <v>83</v>
      </c>
      <c r="C57" s="49">
        <v>378806.54399999999</v>
      </c>
      <c r="D57" s="50">
        <v>63</v>
      </c>
      <c r="E57" s="49">
        <v>10070</v>
      </c>
      <c r="F57" s="55">
        <f t="shared" si="0"/>
        <v>0.33884210526315789</v>
      </c>
      <c r="G57" s="59">
        <f t="shared" si="1"/>
        <v>0.59602982292637463</v>
      </c>
      <c r="H57" s="60">
        <f t="shared" si="6"/>
        <v>225779.99734367194</v>
      </c>
    </row>
    <row r="58" spans="2:8" x14ac:dyDescent="0.3">
      <c r="B58" s="76" t="s">
        <v>84</v>
      </c>
      <c r="C58" s="49">
        <v>234237.29225000003</v>
      </c>
      <c r="D58" s="50">
        <v>63</v>
      </c>
      <c r="E58" s="49">
        <v>10070</v>
      </c>
      <c r="F58" s="55">
        <f t="shared" si="0"/>
        <v>0.33884210526315789</v>
      </c>
      <c r="G58" s="59">
        <f t="shared" si="1"/>
        <v>0.59602982292637463</v>
      </c>
      <c r="H58" s="60">
        <f t="shared" si="6"/>
        <v>139612.41182252098</v>
      </c>
    </row>
    <row r="59" spans="2:8" x14ac:dyDescent="0.3">
      <c r="B59" s="76" t="s">
        <v>314</v>
      </c>
      <c r="C59" s="49">
        <v>544179.25994216464</v>
      </c>
      <c r="D59" s="50">
        <v>96</v>
      </c>
      <c r="E59" s="49">
        <v>7211</v>
      </c>
      <c r="F59" s="55">
        <f t="shared" si="0"/>
        <v>0.47318541117736784</v>
      </c>
      <c r="G59" s="59">
        <f t="shared" si="1"/>
        <v>0.426809439237546</v>
      </c>
      <c r="H59" s="60">
        <f t="shared" si="6"/>
        <v>232260.84478061806</v>
      </c>
    </row>
    <row r="60" spans="2:8" x14ac:dyDescent="0.3">
      <c r="B60" s="77" t="s">
        <v>21</v>
      </c>
      <c r="C60" s="61"/>
      <c r="D60" s="107">
        <f>+D61</f>
        <v>14</v>
      </c>
      <c r="E60" s="44">
        <f>+E61</f>
        <v>11860</v>
      </c>
      <c r="F60" s="45">
        <f t="shared" si="0"/>
        <v>0.2877015177065767</v>
      </c>
      <c r="G60" s="46">
        <f t="shared" si="1"/>
        <v>0.70197752729958329</v>
      </c>
      <c r="H60" s="65">
        <f>+G60*C60</f>
        <v>0</v>
      </c>
    </row>
    <row r="61" spans="2:8" x14ac:dyDescent="0.3">
      <c r="B61" s="76" t="s">
        <v>100</v>
      </c>
      <c r="C61" s="49">
        <v>79662.397554113864</v>
      </c>
      <c r="D61" s="50">
        <v>14</v>
      </c>
      <c r="E61" s="49">
        <v>11860</v>
      </c>
      <c r="F61" s="55">
        <f t="shared" si="0"/>
        <v>0.2877015177065767</v>
      </c>
      <c r="G61" s="59">
        <f t="shared" si="1"/>
        <v>0.70197752729958329</v>
      </c>
      <c r="H61" s="60">
        <f t="shared" ref="H61" si="7">+G61*C61</f>
        <v>55921.212853793222</v>
      </c>
    </row>
    <row r="62" spans="2:8" x14ac:dyDescent="0.3">
      <c r="B62" s="77" t="s">
        <v>22</v>
      </c>
      <c r="C62" s="61"/>
      <c r="D62" s="107">
        <f>+SUM(D63:D64)</f>
        <v>18</v>
      </c>
      <c r="E62" s="44">
        <f>SUMPRODUCT(D63:D64,E63:E64)/D62</f>
        <v>12028</v>
      </c>
      <c r="F62" s="45">
        <f t="shared" si="0"/>
        <v>0.28368307283006317</v>
      </c>
      <c r="G62" s="46">
        <f t="shared" si="1"/>
        <v>0.7119212224586331</v>
      </c>
      <c r="H62" s="65">
        <f>+G62*C62</f>
        <v>0</v>
      </c>
    </row>
    <row r="63" spans="2:8" x14ac:dyDescent="0.3">
      <c r="B63" s="76" t="s">
        <v>111</v>
      </c>
      <c r="C63" s="49">
        <v>0</v>
      </c>
      <c r="D63" s="50">
        <v>9</v>
      </c>
      <c r="E63" s="49">
        <v>12074</v>
      </c>
      <c r="F63" s="55">
        <f t="shared" si="0"/>
        <v>0.28260228590359449</v>
      </c>
      <c r="G63" s="59">
        <f t="shared" si="1"/>
        <v>0.71464390089503949</v>
      </c>
      <c r="H63" s="60">
        <f t="shared" ref="H63:H64" si="8">+G63*C63</f>
        <v>0</v>
      </c>
    </row>
    <row r="64" spans="2:8" x14ac:dyDescent="0.3">
      <c r="B64" s="76" t="s">
        <v>112</v>
      </c>
      <c r="C64" s="49">
        <v>29966.794000000005</v>
      </c>
      <c r="D64" s="50">
        <v>9</v>
      </c>
      <c r="E64" s="49">
        <v>11982</v>
      </c>
      <c r="F64" s="55">
        <f t="shared" si="0"/>
        <v>0.28477215823735602</v>
      </c>
      <c r="G64" s="59">
        <f t="shared" si="1"/>
        <v>0.7091985440222266</v>
      </c>
      <c r="H64" s="60">
        <f t="shared" si="8"/>
        <v>21252.406673813999</v>
      </c>
    </row>
    <row r="65" spans="2:8" x14ac:dyDescent="0.3">
      <c r="B65" s="77" t="s">
        <v>17</v>
      </c>
      <c r="C65" s="61"/>
      <c r="D65" s="107">
        <f>+SUM(D66:D67)</f>
        <v>44</v>
      </c>
      <c r="E65" s="44">
        <f>SUMPRODUCT(D66:D67,E66:E67)/D65</f>
        <v>11761</v>
      </c>
      <c r="F65" s="45">
        <f t="shared" si="0"/>
        <v>0.29012328883598332</v>
      </c>
      <c r="G65" s="46">
        <f t="shared" si="1"/>
        <v>0.69611784979514324</v>
      </c>
      <c r="H65" s="65">
        <f>+G65*C65</f>
        <v>0</v>
      </c>
    </row>
    <row r="66" spans="2:8" x14ac:dyDescent="0.3">
      <c r="B66" s="76" t="s">
        <v>85</v>
      </c>
      <c r="C66" s="49">
        <v>44085.419999999991</v>
      </c>
      <c r="D66" s="50">
        <v>22</v>
      </c>
      <c r="E66" s="49">
        <v>11850</v>
      </c>
      <c r="F66" s="55">
        <f t="shared" si="0"/>
        <v>0.28794430379746838</v>
      </c>
      <c r="G66" s="59">
        <f t="shared" si="1"/>
        <v>0.70138564068297304</v>
      </c>
      <c r="H66" s="60">
        <f t="shared" ref="H66:H67" si="9">+G66*C66</f>
        <v>30920.880551477949</v>
      </c>
    </row>
    <row r="67" spans="2:8" x14ac:dyDescent="0.3">
      <c r="B67" s="76" t="s">
        <v>86</v>
      </c>
      <c r="C67" s="49">
        <v>35185.5</v>
      </c>
      <c r="D67" s="50">
        <v>22</v>
      </c>
      <c r="E67" s="49">
        <v>11672</v>
      </c>
      <c r="F67" s="55">
        <f t="shared" si="0"/>
        <v>0.29233550376970524</v>
      </c>
      <c r="G67" s="59">
        <f t="shared" si="1"/>
        <v>0.69085005890731344</v>
      </c>
      <c r="H67" s="60">
        <f t="shared" si="9"/>
        <v>24307.904747683278</v>
      </c>
    </row>
    <row r="68" spans="2:8" x14ac:dyDescent="0.3">
      <c r="B68" s="77" t="s">
        <v>24</v>
      </c>
      <c r="C68" s="61"/>
      <c r="D68" s="107">
        <f>+SUM(D69:D72)</f>
        <v>175.36</v>
      </c>
      <c r="E68" s="44">
        <f>SUMPRODUCT(D69:D72,E69:E72)/D68</f>
        <v>9386.2137887773733</v>
      </c>
      <c r="F68" s="45">
        <f t="shared" si="0"/>
        <v>0.36352677200680483</v>
      </c>
      <c r="G68" s="46">
        <f t="shared" si="1"/>
        <v>0.55555743222185439</v>
      </c>
      <c r="H68" s="65">
        <f>+G68*C68</f>
        <v>0</v>
      </c>
    </row>
    <row r="69" spans="2:8" x14ac:dyDescent="0.3">
      <c r="B69" s="76" t="s">
        <v>327</v>
      </c>
      <c r="C69" s="49">
        <v>283458</v>
      </c>
      <c r="D69" s="270">
        <v>43.83</v>
      </c>
      <c r="E69" s="49">
        <v>9397</v>
      </c>
      <c r="F69" s="55">
        <f t="shared" si="0"/>
        <v>0.36310950303288281</v>
      </c>
      <c r="G69" s="59">
        <f t="shared" si="1"/>
        <v>0.55619585362851465</v>
      </c>
      <c r="H69" s="60">
        <f t="shared" ref="H69:H72" si="10">+G69*C69</f>
        <v>157658.1642778315</v>
      </c>
    </row>
    <row r="70" spans="2:8" x14ac:dyDescent="0.3">
      <c r="B70" s="76" t="s">
        <v>328</v>
      </c>
      <c r="C70" s="49">
        <v>256045</v>
      </c>
      <c r="D70" s="270">
        <v>43.31</v>
      </c>
      <c r="E70" s="49">
        <v>9446</v>
      </c>
      <c r="F70" s="55">
        <f t="shared" si="0"/>
        <v>0.36122591573152651</v>
      </c>
      <c r="G70" s="59">
        <f t="shared" si="1"/>
        <v>0.55909609804990423</v>
      </c>
      <c r="H70" s="60">
        <f t="shared" si="10"/>
        <v>143153.76042518773</v>
      </c>
    </row>
    <row r="71" spans="2:8" x14ac:dyDescent="0.3">
      <c r="B71" s="76" t="s">
        <v>329</v>
      </c>
      <c r="C71" s="49">
        <v>285112</v>
      </c>
      <c r="D71" s="270">
        <v>44.16</v>
      </c>
      <c r="E71" s="49">
        <v>9355</v>
      </c>
      <c r="F71" s="55">
        <f t="shared" si="0"/>
        <v>0.36473971138428646</v>
      </c>
      <c r="G71" s="59">
        <f t="shared" si="1"/>
        <v>0.55370992983875222</v>
      </c>
      <c r="H71" s="60">
        <f t="shared" si="10"/>
        <v>157869.34551618632</v>
      </c>
    </row>
    <row r="72" spans="2:8" x14ac:dyDescent="0.3">
      <c r="B72" s="76" t="s">
        <v>330</v>
      </c>
      <c r="C72" s="49">
        <v>279769</v>
      </c>
      <c r="D72" s="270">
        <v>44.06</v>
      </c>
      <c r="E72" s="49">
        <v>9348</v>
      </c>
      <c r="F72" s="56">
        <f t="shared" si="0"/>
        <v>0.36501283697047499</v>
      </c>
      <c r="G72" s="59">
        <f t="shared" si="1"/>
        <v>0.55329560920712517</v>
      </c>
      <c r="H72" s="60">
        <f t="shared" si="10"/>
        <v>154794.95929226821</v>
      </c>
    </row>
    <row r="73" spans="2:8" x14ac:dyDescent="0.3">
      <c r="B73" s="77" t="s">
        <v>45</v>
      </c>
      <c r="C73" s="44">
        <v>260568.35899999994</v>
      </c>
      <c r="D73" s="107">
        <f>+SUM(D74:D81)</f>
        <v>116.6</v>
      </c>
      <c r="E73" s="44">
        <f>SUMPRODUCT(D74:D81,E74:E81)/D73</f>
        <v>11302.643567753001</v>
      </c>
      <c r="F73" s="51">
        <f t="shared" si="0"/>
        <v>0.30188866697831679</v>
      </c>
      <c r="G73" s="46">
        <f t="shared" si="1"/>
        <v>0.66898834600672774</v>
      </c>
      <c r="H73" s="101">
        <f>+G73*C73</f>
        <v>174317.19550909722</v>
      </c>
    </row>
    <row r="74" spans="2:8" x14ac:dyDescent="0.3">
      <c r="B74" s="76" t="s">
        <v>101</v>
      </c>
      <c r="C74" s="111"/>
      <c r="D74" s="50">
        <v>18.52</v>
      </c>
      <c r="E74" s="49">
        <v>12124</v>
      </c>
      <c r="F74" s="55">
        <f t="shared" si="0"/>
        <v>0.28143681953150773</v>
      </c>
      <c r="G74" s="59">
        <f t="shared" si="1"/>
        <v>0.71760333397809006</v>
      </c>
      <c r="H74" s="60">
        <f t="shared" ref="H74:H81" si="11">+G74*C74</f>
        <v>0</v>
      </c>
    </row>
    <row r="75" spans="2:8" x14ac:dyDescent="0.3">
      <c r="B75" s="76" t="s">
        <v>102</v>
      </c>
      <c r="C75" s="269"/>
      <c r="D75" s="50">
        <v>18.809999999999999</v>
      </c>
      <c r="E75" s="49">
        <v>12124</v>
      </c>
      <c r="F75" s="55">
        <f t="shared" si="0"/>
        <v>0.28143681953150773</v>
      </c>
      <c r="G75" s="59">
        <f t="shared" si="1"/>
        <v>0.71760333397809006</v>
      </c>
      <c r="H75" s="60">
        <f t="shared" si="11"/>
        <v>0</v>
      </c>
    </row>
    <row r="76" spans="2:8" x14ac:dyDescent="0.3">
      <c r="B76" s="76" t="s">
        <v>103</v>
      </c>
      <c r="C76" s="269"/>
      <c r="D76" s="50">
        <v>18.32</v>
      </c>
      <c r="E76" s="49">
        <v>12124</v>
      </c>
      <c r="F76" s="55">
        <f t="shared" si="0"/>
        <v>0.28143681953150773</v>
      </c>
      <c r="G76" s="59">
        <f t="shared" si="1"/>
        <v>0.71760333397809006</v>
      </c>
      <c r="H76" s="60">
        <f t="shared" si="11"/>
        <v>0</v>
      </c>
    </row>
    <row r="77" spans="2:8" x14ac:dyDescent="0.3">
      <c r="B77" s="76" t="s">
        <v>104</v>
      </c>
      <c r="C77" s="269"/>
      <c r="D77" s="50">
        <v>18.63</v>
      </c>
      <c r="E77" s="49">
        <v>12124</v>
      </c>
      <c r="F77" s="56">
        <f t="shared" si="0"/>
        <v>0.28143681953150773</v>
      </c>
      <c r="G77" s="59">
        <f t="shared" si="1"/>
        <v>0.71760333397809006</v>
      </c>
      <c r="H77" s="60">
        <f t="shared" si="11"/>
        <v>0</v>
      </c>
    </row>
    <row r="78" spans="2:8" x14ac:dyDescent="0.3">
      <c r="B78" s="76" t="s">
        <v>319</v>
      </c>
      <c r="C78" s="269"/>
      <c r="D78" s="50">
        <v>10.58</v>
      </c>
      <c r="E78" s="49">
        <v>9861</v>
      </c>
      <c r="F78" s="56">
        <f t="shared" si="0"/>
        <v>0.34602372984484331</v>
      </c>
      <c r="G78" s="59">
        <f t="shared" si="1"/>
        <v>0.58365939263922351</v>
      </c>
      <c r="H78" s="60">
        <f t="shared" si="11"/>
        <v>0</v>
      </c>
    </row>
    <row r="79" spans="2:8" x14ac:dyDescent="0.3">
      <c r="B79" s="76" t="s">
        <v>320</v>
      </c>
      <c r="C79" s="269"/>
      <c r="D79" s="50">
        <v>10.58</v>
      </c>
      <c r="E79" s="49">
        <v>9861</v>
      </c>
      <c r="F79" s="56">
        <f t="shared" si="0"/>
        <v>0.34602372984484331</v>
      </c>
      <c r="G79" s="59">
        <f t="shared" si="1"/>
        <v>0.58365939263922351</v>
      </c>
      <c r="H79" s="60">
        <f t="shared" si="11"/>
        <v>0</v>
      </c>
    </row>
    <row r="80" spans="2:8" x14ac:dyDescent="0.3">
      <c r="B80" s="76" t="s">
        <v>321</v>
      </c>
      <c r="C80" s="269"/>
      <c r="D80" s="50">
        <v>10.58</v>
      </c>
      <c r="E80" s="49">
        <v>9861</v>
      </c>
      <c r="F80" s="56">
        <f t="shared" si="0"/>
        <v>0.34602372984484331</v>
      </c>
      <c r="G80" s="59">
        <f t="shared" si="1"/>
        <v>0.58365939263922351</v>
      </c>
      <c r="H80" s="60">
        <f t="shared" si="11"/>
        <v>0</v>
      </c>
    </row>
    <row r="81" spans="2:8" x14ac:dyDescent="0.3">
      <c r="B81" s="76" t="s">
        <v>322</v>
      </c>
      <c r="C81" s="53"/>
      <c r="D81" s="50">
        <v>10.58</v>
      </c>
      <c r="E81" s="49">
        <v>9861</v>
      </c>
      <c r="F81" s="56">
        <f t="shared" si="0"/>
        <v>0.34602372984484331</v>
      </c>
      <c r="G81" s="59">
        <f t="shared" si="1"/>
        <v>0.58365939263922351</v>
      </c>
      <c r="H81" s="60">
        <f t="shared" si="11"/>
        <v>0</v>
      </c>
    </row>
    <row r="82" spans="2:8" x14ac:dyDescent="0.3">
      <c r="B82" s="77" t="s">
        <v>25</v>
      </c>
      <c r="C82" s="61"/>
      <c r="D82" s="107">
        <f>+SUM(D83:D88)</f>
        <v>221.45999999999998</v>
      </c>
      <c r="E82" s="44">
        <f>SUMPRODUCT(D83:D88,E83:E88)/D82</f>
        <v>9165.9269845570307</v>
      </c>
      <c r="F82" s="51">
        <f t="shared" si="0"/>
        <v>0.37226349345231025</v>
      </c>
      <c r="G82" s="46">
        <f t="shared" si="1"/>
        <v>0.54251895109847137</v>
      </c>
      <c r="H82" s="65">
        <f>+G82*C82</f>
        <v>0</v>
      </c>
    </row>
    <row r="83" spans="2:8" x14ac:dyDescent="0.3">
      <c r="B83" s="76" t="s">
        <v>333</v>
      </c>
      <c r="C83" s="49">
        <v>198822</v>
      </c>
      <c r="D83" s="50">
        <v>44.58</v>
      </c>
      <c r="E83" s="49">
        <v>9100</v>
      </c>
      <c r="F83" s="55">
        <f t="shared" si="0"/>
        <v>0.37496043956043956</v>
      </c>
      <c r="G83" s="59">
        <f t="shared" si="1"/>
        <v>0.5386168211151946</v>
      </c>
      <c r="H83" s="60">
        <f t="shared" ref="H83:H87" si="12">+G83*C83</f>
        <v>107088.87360776521</v>
      </c>
    </row>
    <row r="84" spans="2:8" x14ac:dyDescent="0.3">
      <c r="B84" s="76" t="s">
        <v>334</v>
      </c>
      <c r="C84" s="49">
        <v>104963</v>
      </c>
      <c r="D84" s="50">
        <v>44</v>
      </c>
      <c r="E84" s="49">
        <v>9185</v>
      </c>
      <c r="F84" s="55">
        <f t="shared" si="0"/>
        <v>0.37149047359825804</v>
      </c>
      <c r="G84" s="59">
        <f t="shared" si="1"/>
        <v>0.54364785735638044</v>
      </c>
      <c r="H84" s="60">
        <f t="shared" si="12"/>
        <v>57062.910051697763</v>
      </c>
    </row>
    <row r="85" spans="2:8" x14ac:dyDescent="0.3">
      <c r="B85" s="76" t="s">
        <v>335</v>
      </c>
      <c r="C85" s="49">
        <v>135385</v>
      </c>
      <c r="D85" s="50">
        <v>44.33</v>
      </c>
      <c r="E85" s="49">
        <v>9183</v>
      </c>
      <c r="F85" s="55">
        <f t="shared" si="0"/>
        <v>0.37157138190133943</v>
      </c>
      <c r="G85" s="59">
        <f t="shared" si="1"/>
        <v>0.54352948003305845</v>
      </c>
      <c r="H85" s="60">
        <f t="shared" si="12"/>
        <v>73585.738654275614</v>
      </c>
    </row>
    <row r="86" spans="2:8" x14ac:dyDescent="0.3">
      <c r="B86" s="76" t="s">
        <v>336</v>
      </c>
      <c r="C86" s="49">
        <v>75984</v>
      </c>
      <c r="D86" s="50">
        <v>44.55</v>
      </c>
      <c r="E86" s="49">
        <v>9196</v>
      </c>
      <c r="F86" s="56">
        <f t="shared" si="0"/>
        <v>0.37104610700304475</v>
      </c>
      <c r="G86" s="59">
        <f t="shared" si="1"/>
        <v>0.54429893263465168</v>
      </c>
      <c r="H86" s="60">
        <f t="shared" si="12"/>
        <v>41358.010097311373</v>
      </c>
    </row>
    <row r="87" spans="2:8" x14ac:dyDescent="0.3">
      <c r="B87" s="76" t="s">
        <v>337</v>
      </c>
      <c r="C87" s="49">
        <v>91678</v>
      </c>
      <c r="D87" s="50">
        <v>44</v>
      </c>
      <c r="E87" s="49">
        <v>9166</v>
      </c>
      <c r="F87" s="56">
        <f t="shared" ref="F87" si="13">1/(E87/$C$13)</f>
        <v>0.37226052803840282</v>
      </c>
      <c r="G87" s="102">
        <f t="shared" ref="G87" si="14">+$C$14*$C$15/F87</f>
        <v>0.54252327278482126</v>
      </c>
      <c r="H87" s="103">
        <f t="shared" si="12"/>
        <v>49737.448602366843</v>
      </c>
    </row>
    <row r="88" spans="2:8" x14ac:dyDescent="0.3">
      <c r="B88" s="113"/>
      <c r="C88" s="30"/>
      <c r="D88" s="213"/>
      <c r="E88" s="30"/>
      <c r="F88" s="41"/>
      <c r="G88" s="35"/>
      <c r="H88" s="208"/>
    </row>
    <row r="89" spans="2:8" ht="28.8" x14ac:dyDescent="0.3">
      <c r="B89" s="84" t="s">
        <v>164</v>
      </c>
      <c r="C89" s="79" t="s">
        <v>197</v>
      </c>
      <c r="D89" s="99"/>
      <c r="E89" s="99"/>
      <c r="F89" s="4"/>
      <c r="G89" s="99"/>
      <c r="H89" s="9"/>
    </row>
    <row r="90" spans="2:8" x14ac:dyDescent="0.3">
      <c r="B90" s="82" t="s">
        <v>0</v>
      </c>
      <c r="C90" s="83">
        <f>SUM(C91:C156)</f>
        <v>2439591.1513262745</v>
      </c>
      <c r="D90" s="31"/>
      <c r="E90" s="31"/>
      <c r="F90" s="9"/>
      <c r="G90" s="31"/>
      <c r="H90" s="9"/>
    </row>
    <row r="91" spans="2:8" x14ac:dyDescent="0.3">
      <c r="B91" s="57" t="s">
        <v>26</v>
      </c>
      <c r="C91" s="78"/>
      <c r="D91" s="30"/>
      <c r="E91" s="30"/>
      <c r="F91" s="4"/>
      <c r="G91" s="30"/>
      <c r="H91" s="9"/>
    </row>
    <row r="92" spans="2:8" x14ac:dyDescent="0.3">
      <c r="B92" s="47" t="s">
        <v>142</v>
      </c>
      <c r="C92" s="49">
        <v>8059.2840000000015</v>
      </c>
      <c r="D92" s="30"/>
      <c r="E92" s="30"/>
      <c r="F92" s="4"/>
      <c r="G92" s="30"/>
      <c r="H92" s="9"/>
    </row>
    <row r="93" spans="2:8" x14ac:dyDescent="0.3">
      <c r="B93" s="47" t="s">
        <v>143</v>
      </c>
      <c r="C93" s="49">
        <v>3992.585</v>
      </c>
      <c r="D93" s="30"/>
      <c r="E93" s="30"/>
      <c r="F93" s="4"/>
      <c r="G93" s="30"/>
      <c r="H93" s="9"/>
    </row>
    <row r="94" spans="2:8" x14ac:dyDescent="0.3">
      <c r="B94" s="47" t="s">
        <v>144</v>
      </c>
      <c r="C94" s="49">
        <v>6644.1160000000018</v>
      </c>
      <c r="D94" s="30"/>
      <c r="E94" s="30"/>
      <c r="F94" s="4"/>
      <c r="G94" s="30"/>
      <c r="H94" s="9"/>
    </row>
    <row r="95" spans="2:8" x14ac:dyDescent="0.3">
      <c r="B95" s="57" t="s">
        <v>27</v>
      </c>
      <c r="C95" s="78"/>
      <c r="D95" s="30"/>
      <c r="E95" s="30"/>
      <c r="F95" s="4"/>
      <c r="G95" s="30"/>
      <c r="H95" s="9"/>
    </row>
    <row r="96" spans="2:8" x14ac:dyDescent="0.3">
      <c r="B96" s="47" t="s">
        <v>125</v>
      </c>
      <c r="C96" s="49">
        <v>8959.4909999999982</v>
      </c>
      <c r="D96" s="30"/>
      <c r="E96" s="30"/>
      <c r="F96" s="4"/>
      <c r="G96" s="30"/>
      <c r="H96" s="9"/>
    </row>
    <row r="97" spans="2:8" x14ac:dyDescent="0.3">
      <c r="B97" s="47" t="s">
        <v>126</v>
      </c>
      <c r="C97" s="49">
        <v>7037.5190000000011</v>
      </c>
      <c r="D97" s="30"/>
      <c r="E97" s="30"/>
      <c r="F97" s="4"/>
      <c r="G97" s="30"/>
      <c r="H97" s="9"/>
    </row>
    <row r="98" spans="2:8" x14ac:dyDescent="0.3">
      <c r="B98" s="47" t="s">
        <v>127</v>
      </c>
      <c r="C98" s="49">
        <v>23605.780999999999</v>
      </c>
      <c r="D98" s="30"/>
      <c r="E98" s="30"/>
      <c r="F98" s="4"/>
      <c r="G98" s="30"/>
      <c r="H98" s="9"/>
    </row>
    <row r="99" spans="2:8" x14ac:dyDescent="0.3">
      <c r="B99" s="57" t="s">
        <v>28</v>
      </c>
      <c r="C99" s="78"/>
      <c r="D99" s="30"/>
      <c r="E99" s="30"/>
      <c r="F99" s="4"/>
      <c r="G99" s="30"/>
      <c r="H99" s="9"/>
    </row>
    <row r="100" spans="2:8" x14ac:dyDescent="0.3">
      <c r="B100" s="47" t="s">
        <v>156</v>
      </c>
      <c r="C100" s="49">
        <v>81648.601999999999</v>
      </c>
      <c r="D100" s="30"/>
      <c r="E100" s="30"/>
      <c r="F100" s="4"/>
      <c r="G100" s="30"/>
      <c r="H100" s="9"/>
    </row>
    <row r="101" spans="2:8" x14ac:dyDescent="0.3">
      <c r="B101" s="47" t="s">
        <v>157</v>
      </c>
      <c r="C101" s="49">
        <v>81079.112999999998</v>
      </c>
      <c r="D101" s="30"/>
      <c r="E101" s="30"/>
      <c r="F101" s="4"/>
      <c r="G101" s="30"/>
      <c r="H101" s="9"/>
    </row>
    <row r="102" spans="2:8" x14ac:dyDescent="0.3">
      <c r="B102" s="57" t="s">
        <v>32</v>
      </c>
      <c r="C102" s="78"/>
      <c r="D102" s="30"/>
      <c r="E102" s="30"/>
      <c r="F102" s="4"/>
      <c r="G102" s="30"/>
      <c r="H102" s="9"/>
    </row>
    <row r="103" spans="2:8" x14ac:dyDescent="0.3">
      <c r="B103" s="47" t="s">
        <v>148</v>
      </c>
      <c r="C103" s="49">
        <v>41867.756999999991</v>
      </c>
      <c r="D103" s="30"/>
      <c r="E103" s="30"/>
      <c r="F103" s="4"/>
      <c r="G103" s="30"/>
      <c r="H103" s="9"/>
    </row>
    <row r="104" spans="2:8" x14ac:dyDescent="0.3">
      <c r="B104" s="57" t="s">
        <v>29</v>
      </c>
      <c r="C104" s="78"/>
      <c r="D104" s="30"/>
      <c r="E104" s="30"/>
      <c r="F104" s="4"/>
      <c r="G104" s="30"/>
      <c r="H104" s="9"/>
    </row>
    <row r="105" spans="2:8" x14ac:dyDescent="0.3">
      <c r="B105" s="47" t="s">
        <v>149</v>
      </c>
      <c r="C105" s="49">
        <v>1658.2380349999999</v>
      </c>
      <c r="D105" s="30"/>
      <c r="E105" s="30"/>
      <c r="F105" s="4"/>
      <c r="G105" s="30"/>
      <c r="H105" s="9"/>
    </row>
    <row r="106" spans="2:8" x14ac:dyDescent="0.3">
      <c r="B106" s="47" t="s">
        <v>173</v>
      </c>
      <c r="C106" s="49">
        <v>130614.54000000001</v>
      </c>
      <c r="D106" s="30"/>
      <c r="E106" s="30"/>
      <c r="F106" s="4"/>
      <c r="G106" s="30"/>
      <c r="H106" s="9"/>
    </row>
    <row r="107" spans="2:8" x14ac:dyDescent="0.3">
      <c r="B107" s="57" t="s">
        <v>30</v>
      </c>
      <c r="C107" s="78"/>
      <c r="D107" s="30"/>
      <c r="E107" s="30"/>
      <c r="F107" s="4"/>
      <c r="G107" s="30"/>
      <c r="H107" s="9"/>
    </row>
    <row r="108" spans="2:8" x14ac:dyDescent="0.3">
      <c r="B108" s="47" t="s">
        <v>145</v>
      </c>
      <c r="C108" s="49">
        <v>11539.983</v>
      </c>
      <c r="D108" s="30"/>
      <c r="E108" s="30"/>
      <c r="F108" s="4"/>
      <c r="G108" s="30"/>
      <c r="H108" s="9"/>
    </row>
    <row r="109" spans="2:8" x14ac:dyDescent="0.3">
      <c r="B109" s="47" t="s">
        <v>146</v>
      </c>
      <c r="C109" s="49">
        <v>14778.668000000003</v>
      </c>
      <c r="D109" s="30"/>
      <c r="E109" s="30"/>
      <c r="F109" s="4"/>
      <c r="G109" s="30"/>
      <c r="H109" s="9"/>
    </row>
    <row r="110" spans="2:8" x14ac:dyDescent="0.3">
      <c r="B110" s="47" t="s">
        <v>147</v>
      </c>
      <c r="C110" s="49">
        <v>11178.842000000001</v>
      </c>
      <c r="D110" s="30"/>
      <c r="E110" s="30"/>
      <c r="F110" s="4"/>
      <c r="G110" s="30"/>
      <c r="H110" s="9"/>
    </row>
    <row r="111" spans="2:8" x14ac:dyDescent="0.3">
      <c r="B111" s="57" t="s">
        <v>31</v>
      </c>
      <c r="C111" s="78"/>
      <c r="D111" s="30"/>
      <c r="E111" s="30"/>
      <c r="F111" s="4"/>
      <c r="G111" s="30"/>
      <c r="H111" s="9"/>
    </row>
    <row r="112" spans="2:8" x14ac:dyDescent="0.3">
      <c r="B112" s="47" t="s">
        <v>136</v>
      </c>
      <c r="C112" s="49">
        <v>71255.490000000005</v>
      </c>
      <c r="D112" s="30"/>
      <c r="E112" s="30"/>
      <c r="F112" s="4"/>
      <c r="G112" s="30"/>
      <c r="H112" s="9"/>
    </row>
    <row r="113" spans="2:8" x14ac:dyDescent="0.3">
      <c r="B113" s="47" t="s">
        <v>137</v>
      </c>
      <c r="C113" s="49">
        <v>67719.197</v>
      </c>
      <c r="D113" s="30"/>
      <c r="E113" s="30"/>
      <c r="F113" s="4"/>
      <c r="G113" s="30"/>
      <c r="H113" s="9"/>
    </row>
    <row r="114" spans="2:8" x14ac:dyDescent="0.3">
      <c r="B114" s="57" t="s">
        <v>3</v>
      </c>
      <c r="C114" s="78"/>
      <c r="D114" s="30"/>
      <c r="E114" s="30"/>
      <c r="F114" s="4"/>
      <c r="G114" s="30"/>
      <c r="H114" s="9"/>
    </row>
    <row r="115" spans="2:8" x14ac:dyDescent="0.3">
      <c r="B115" s="47" t="s">
        <v>121</v>
      </c>
      <c r="C115" s="49">
        <v>377176.696</v>
      </c>
      <c r="D115" s="30"/>
      <c r="E115" s="30"/>
      <c r="F115" s="4"/>
      <c r="G115" s="30"/>
      <c r="H115" s="9"/>
    </row>
    <row r="116" spans="2:8" x14ac:dyDescent="0.3">
      <c r="B116" s="57" t="s">
        <v>33</v>
      </c>
      <c r="C116" s="78"/>
      <c r="D116" s="30"/>
      <c r="E116" s="30"/>
      <c r="F116" s="4"/>
      <c r="G116" s="30"/>
      <c r="H116" s="9"/>
    </row>
    <row r="117" spans="2:8" x14ac:dyDescent="0.3">
      <c r="B117" s="47" t="s">
        <v>128</v>
      </c>
      <c r="C117" s="49">
        <v>14181.028999999999</v>
      </c>
      <c r="D117" s="30"/>
      <c r="E117" s="30"/>
      <c r="F117" s="4"/>
      <c r="G117" s="30"/>
      <c r="H117" s="9"/>
    </row>
    <row r="118" spans="2:8" x14ac:dyDescent="0.3">
      <c r="B118" s="47" t="s">
        <v>129</v>
      </c>
      <c r="C118" s="49">
        <v>12898.888999999999</v>
      </c>
      <c r="D118" s="30"/>
      <c r="E118" s="30"/>
      <c r="F118" s="4"/>
      <c r="G118" s="30"/>
      <c r="H118" s="9"/>
    </row>
    <row r="119" spans="2:8" x14ac:dyDescent="0.3">
      <c r="B119" s="47" t="s">
        <v>130</v>
      </c>
      <c r="C119" s="49">
        <v>13386.753999999999</v>
      </c>
      <c r="D119" s="30"/>
      <c r="E119" s="30"/>
      <c r="F119" s="4"/>
      <c r="G119" s="30"/>
      <c r="H119" s="9"/>
    </row>
    <row r="120" spans="2:8" x14ac:dyDescent="0.3">
      <c r="B120" s="47" t="s">
        <v>131</v>
      </c>
      <c r="C120" s="49">
        <v>6687.3670912745001</v>
      </c>
      <c r="D120" s="30"/>
      <c r="E120" s="30"/>
      <c r="F120" s="4"/>
      <c r="G120" s="30"/>
      <c r="H120" s="9"/>
    </row>
    <row r="121" spans="2:8" x14ac:dyDescent="0.3">
      <c r="B121" s="47" t="s">
        <v>132</v>
      </c>
      <c r="C121" s="49">
        <v>80462.043000000005</v>
      </c>
      <c r="D121" s="30"/>
      <c r="E121" s="30"/>
      <c r="F121" s="4"/>
      <c r="G121" s="30"/>
      <c r="H121" s="9"/>
    </row>
    <row r="122" spans="2:8" x14ac:dyDescent="0.3">
      <c r="B122" s="57" t="s">
        <v>34</v>
      </c>
      <c r="C122" s="78"/>
      <c r="D122" s="30"/>
      <c r="E122" s="30"/>
      <c r="F122" s="4"/>
      <c r="G122" s="30"/>
      <c r="H122" s="9"/>
    </row>
    <row r="123" spans="2:8" x14ac:dyDescent="0.3">
      <c r="B123" s="47" t="s">
        <v>138</v>
      </c>
      <c r="C123" s="49">
        <v>81849.416999999987</v>
      </c>
      <c r="D123" s="30"/>
      <c r="E123" s="30"/>
      <c r="F123" s="4"/>
      <c r="G123" s="30"/>
      <c r="H123" s="9"/>
    </row>
    <row r="124" spans="2:8" x14ac:dyDescent="0.3">
      <c r="B124" s="47" t="s">
        <v>139</v>
      </c>
      <c r="C124" s="49">
        <v>80452.606</v>
      </c>
      <c r="D124" s="30"/>
      <c r="E124" s="30"/>
      <c r="F124" s="4"/>
      <c r="G124" s="30"/>
      <c r="H124" s="9"/>
    </row>
    <row r="125" spans="2:8" x14ac:dyDescent="0.3">
      <c r="B125" s="57" t="s">
        <v>35</v>
      </c>
      <c r="C125" s="78"/>
      <c r="D125" s="30"/>
      <c r="E125" s="30"/>
      <c r="F125" s="4"/>
      <c r="G125" s="30"/>
      <c r="H125" s="9"/>
    </row>
    <row r="126" spans="2:8" x14ac:dyDescent="0.3">
      <c r="B126" s="47" t="s">
        <v>158</v>
      </c>
      <c r="C126" s="49">
        <v>86632.661000000007</v>
      </c>
      <c r="D126" s="30"/>
      <c r="E126" s="30"/>
      <c r="F126" s="4"/>
      <c r="G126" s="30"/>
      <c r="H126" s="9"/>
    </row>
    <row r="127" spans="2:8" x14ac:dyDescent="0.3">
      <c r="B127" s="47" t="s">
        <v>159</v>
      </c>
      <c r="C127" s="49">
        <v>93811.007999999987</v>
      </c>
      <c r="D127" s="30"/>
      <c r="E127" s="30"/>
      <c r="F127" s="4"/>
      <c r="G127" s="30"/>
      <c r="H127" s="9"/>
    </row>
    <row r="128" spans="2:8" x14ac:dyDescent="0.3">
      <c r="B128" s="57" t="s">
        <v>4</v>
      </c>
      <c r="C128" s="78"/>
      <c r="D128" s="30"/>
      <c r="E128" s="30"/>
      <c r="F128" s="4"/>
      <c r="G128" s="30"/>
      <c r="H128" s="9"/>
    </row>
    <row r="129" spans="2:8" x14ac:dyDescent="0.3">
      <c r="B129" s="47" t="s">
        <v>151</v>
      </c>
      <c r="C129" s="49">
        <v>17612.39</v>
      </c>
      <c r="D129" s="30"/>
      <c r="E129" s="30"/>
      <c r="F129" s="4"/>
      <c r="G129" s="30"/>
      <c r="H129" s="9"/>
    </row>
    <row r="130" spans="2:8" x14ac:dyDescent="0.3">
      <c r="B130" s="57" t="s">
        <v>36</v>
      </c>
      <c r="C130" s="78"/>
      <c r="D130" s="30"/>
      <c r="E130" s="30"/>
      <c r="F130" s="4"/>
      <c r="G130" s="30"/>
      <c r="H130" s="9"/>
    </row>
    <row r="131" spans="2:8" x14ac:dyDescent="0.3">
      <c r="B131" s="47" t="s">
        <v>152</v>
      </c>
      <c r="C131" s="49">
        <v>41357.006000000001</v>
      </c>
      <c r="D131" s="30"/>
      <c r="E131" s="30"/>
      <c r="F131" s="4"/>
      <c r="G131" s="30"/>
      <c r="H131" s="9"/>
    </row>
    <row r="132" spans="2:8" x14ac:dyDescent="0.3">
      <c r="B132" s="57" t="s">
        <v>37</v>
      </c>
      <c r="C132" s="78"/>
      <c r="D132" s="30"/>
      <c r="E132" s="30"/>
      <c r="F132" s="4"/>
      <c r="G132" s="30"/>
      <c r="H132" s="9"/>
    </row>
    <row r="133" spans="2:8" x14ac:dyDescent="0.3">
      <c r="B133" s="47" t="s">
        <v>153</v>
      </c>
      <c r="C133" s="49">
        <v>18022.292999999998</v>
      </c>
      <c r="D133" s="30"/>
      <c r="E133" s="30"/>
      <c r="F133" s="4"/>
      <c r="G133" s="30"/>
      <c r="H133" s="9"/>
    </row>
    <row r="134" spans="2:8" x14ac:dyDescent="0.3">
      <c r="B134" s="57" t="s">
        <v>38</v>
      </c>
      <c r="C134" s="78"/>
      <c r="D134" s="30"/>
      <c r="E134" s="30"/>
      <c r="F134" s="4"/>
      <c r="G134" s="30"/>
      <c r="H134" s="9"/>
    </row>
    <row r="135" spans="2:8" x14ac:dyDescent="0.3">
      <c r="B135" s="47" t="s">
        <v>140</v>
      </c>
      <c r="C135" s="49">
        <v>4376.9049999999997</v>
      </c>
      <c r="D135" s="30"/>
      <c r="E135" s="30"/>
      <c r="F135" s="4"/>
      <c r="G135" s="30"/>
      <c r="H135" s="9"/>
    </row>
    <row r="136" spans="2:8" x14ac:dyDescent="0.3">
      <c r="B136" s="47" t="s">
        <v>141</v>
      </c>
      <c r="C136" s="49">
        <v>4145.2669999999998</v>
      </c>
      <c r="D136" s="30"/>
      <c r="E136" s="30"/>
      <c r="F136" s="4"/>
      <c r="G136" s="30"/>
      <c r="H136" s="9"/>
    </row>
    <row r="137" spans="2:8" x14ac:dyDescent="0.3">
      <c r="B137" s="57" t="s">
        <v>39</v>
      </c>
      <c r="C137" s="78"/>
      <c r="D137" s="30"/>
      <c r="E137" s="30"/>
      <c r="F137" s="4"/>
      <c r="G137" s="30"/>
      <c r="H137" s="9"/>
    </row>
    <row r="138" spans="2:8" x14ac:dyDescent="0.3">
      <c r="B138" s="47" t="s">
        <v>154</v>
      </c>
      <c r="C138" s="49">
        <v>18207.585999999999</v>
      </c>
      <c r="D138" s="30"/>
      <c r="E138" s="30"/>
      <c r="F138" s="4"/>
      <c r="G138" s="30"/>
      <c r="H138" s="9"/>
    </row>
    <row r="139" spans="2:8" x14ac:dyDescent="0.3">
      <c r="B139" s="57" t="s">
        <v>5</v>
      </c>
      <c r="C139" s="78"/>
      <c r="D139" s="30"/>
      <c r="E139" s="30"/>
      <c r="F139" s="4"/>
      <c r="G139" s="30"/>
      <c r="H139" s="9"/>
    </row>
    <row r="140" spans="2:8" x14ac:dyDescent="0.3">
      <c r="B140" s="47" t="s">
        <v>155</v>
      </c>
      <c r="C140" s="49">
        <v>8301.2000000000007</v>
      </c>
      <c r="D140" s="30"/>
      <c r="E140" s="30"/>
      <c r="F140" s="4"/>
      <c r="G140" s="30"/>
      <c r="H140" s="9"/>
    </row>
    <row r="141" spans="2:8" x14ac:dyDescent="0.3">
      <c r="B141" s="57" t="s">
        <v>40</v>
      </c>
      <c r="C141" s="78"/>
      <c r="D141" s="30"/>
      <c r="E141" s="30"/>
      <c r="F141" s="4"/>
      <c r="G141" s="30"/>
      <c r="H141" s="9"/>
    </row>
    <row r="142" spans="2:8" x14ac:dyDescent="0.3">
      <c r="B142" s="47" t="s">
        <v>135</v>
      </c>
      <c r="C142" s="49">
        <v>23543.032999999996</v>
      </c>
      <c r="D142" s="30"/>
      <c r="E142" s="30"/>
      <c r="F142" s="4"/>
      <c r="G142" s="30"/>
      <c r="H142" s="9"/>
    </row>
    <row r="143" spans="2:8" x14ac:dyDescent="0.3">
      <c r="B143" s="57" t="s">
        <v>6</v>
      </c>
      <c r="C143" s="78"/>
      <c r="D143" s="30"/>
      <c r="E143" s="30"/>
      <c r="F143" s="4"/>
      <c r="G143" s="30"/>
      <c r="H143" s="9"/>
    </row>
    <row r="144" spans="2:8" x14ac:dyDescent="0.3">
      <c r="B144" s="47" t="s">
        <v>331</v>
      </c>
      <c r="C144" s="49">
        <v>2118.4740000000002</v>
      </c>
      <c r="D144" s="30"/>
      <c r="E144" s="30"/>
      <c r="F144" s="4"/>
      <c r="G144" s="30"/>
      <c r="H144" s="9"/>
    </row>
    <row r="145" spans="2:8" x14ac:dyDescent="0.3">
      <c r="B145" s="47" t="s">
        <v>332</v>
      </c>
      <c r="C145" s="49">
        <v>1880.5391999999999</v>
      </c>
      <c r="D145" s="30"/>
      <c r="E145" s="30"/>
      <c r="F145" s="4"/>
      <c r="G145" s="30"/>
      <c r="H145" s="9"/>
    </row>
    <row r="146" spans="2:8" x14ac:dyDescent="0.3">
      <c r="B146" s="57" t="s">
        <v>2</v>
      </c>
      <c r="C146" s="78"/>
      <c r="D146" s="30"/>
      <c r="E146" s="30"/>
      <c r="F146" s="4"/>
      <c r="G146" s="30"/>
      <c r="H146" s="9"/>
    </row>
    <row r="147" spans="2:8" x14ac:dyDescent="0.3">
      <c r="B147" s="47" t="s">
        <v>122</v>
      </c>
      <c r="C147" s="49">
        <v>560551.92799999996</v>
      </c>
      <c r="D147" s="30"/>
      <c r="E147" s="30"/>
      <c r="F147" s="4"/>
      <c r="G147" s="30"/>
      <c r="H147" s="9"/>
    </row>
    <row r="148" spans="2:8" x14ac:dyDescent="0.3">
      <c r="B148" s="57" t="s">
        <v>42</v>
      </c>
      <c r="C148" s="78"/>
      <c r="D148" s="30"/>
      <c r="E148" s="30"/>
      <c r="F148" s="4"/>
      <c r="G148" s="30"/>
      <c r="H148" s="9"/>
    </row>
    <row r="149" spans="2:8" x14ac:dyDescent="0.3">
      <c r="B149" s="47" t="s">
        <v>133</v>
      </c>
      <c r="C149" s="49">
        <v>38808.311000000002</v>
      </c>
      <c r="D149" s="30"/>
      <c r="E149" s="30"/>
      <c r="F149" s="4"/>
      <c r="G149" s="30"/>
      <c r="H149" s="9"/>
    </row>
    <row r="150" spans="2:8" x14ac:dyDescent="0.3">
      <c r="B150" s="47" t="s">
        <v>134</v>
      </c>
      <c r="C150" s="49">
        <v>47305.845000000001</v>
      </c>
      <c r="D150" s="30"/>
      <c r="E150" s="30"/>
      <c r="F150" s="4"/>
      <c r="G150" s="30"/>
      <c r="H150" s="9"/>
    </row>
    <row r="151" spans="2:8" x14ac:dyDescent="0.3">
      <c r="B151" s="57" t="s">
        <v>43</v>
      </c>
      <c r="C151" s="78"/>
      <c r="D151" s="30"/>
      <c r="E151" s="30"/>
      <c r="F151" s="4"/>
      <c r="G151" s="30"/>
      <c r="H151" s="9"/>
    </row>
    <row r="152" spans="2:8" x14ac:dyDescent="0.3">
      <c r="B152" s="47" t="s">
        <v>124</v>
      </c>
      <c r="C152" s="49">
        <v>12813.867</v>
      </c>
      <c r="D152" s="30"/>
      <c r="E152" s="30"/>
      <c r="F152" s="4"/>
      <c r="G152" s="30"/>
      <c r="H152" s="9"/>
    </row>
    <row r="153" spans="2:8" x14ac:dyDescent="0.3">
      <c r="B153" s="57" t="s">
        <v>46</v>
      </c>
      <c r="C153" s="78"/>
      <c r="D153" s="30"/>
      <c r="E153" s="30"/>
      <c r="F153" s="4"/>
      <c r="G153" s="30"/>
      <c r="H153" s="9"/>
    </row>
    <row r="154" spans="2:8" x14ac:dyDescent="0.3">
      <c r="B154" s="47" t="s">
        <v>150</v>
      </c>
      <c r="C154" s="49">
        <v>211398.55300000001</v>
      </c>
      <c r="D154" s="30"/>
      <c r="E154" s="30"/>
      <c r="F154" s="4"/>
      <c r="G154" s="30"/>
      <c r="H154" s="9"/>
    </row>
    <row r="155" spans="2:8" x14ac:dyDescent="0.3">
      <c r="B155" s="57" t="s">
        <v>1</v>
      </c>
      <c r="C155" s="78"/>
      <c r="D155" s="30"/>
      <c r="E155" s="30"/>
      <c r="F155" s="4"/>
      <c r="G155" s="30"/>
      <c r="H155" s="9"/>
    </row>
    <row r="156" spans="2:8" x14ac:dyDescent="0.3">
      <c r="B156" s="47" t="s">
        <v>123</v>
      </c>
      <c r="C156" s="49">
        <v>9970.2779999999984</v>
      </c>
      <c r="D156" s="30"/>
      <c r="E156" s="30"/>
      <c r="F156" s="4"/>
      <c r="G156" s="30"/>
      <c r="H156" s="9"/>
    </row>
    <row r="157" spans="2:8" x14ac:dyDescent="0.3">
      <c r="F157" s="9"/>
    </row>
    <row r="158" spans="2:8" ht="28.8" x14ac:dyDescent="0.3">
      <c r="B158" s="84" t="s">
        <v>164</v>
      </c>
      <c r="C158" s="79" t="s">
        <v>165</v>
      </c>
      <c r="D158" s="99"/>
      <c r="E158" s="99"/>
      <c r="F158" s="4"/>
    </row>
    <row r="159" spans="2:8" x14ac:dyDescent="0.3">
      <c r="B159" s="7" t="s">
        <v>12</v>
      </c>
      <c r="C159" s="85">
        <f>+SUM(C160:C163)</f>
        <v>79093.507500000007</v>
      </c>
      <c r="D159" s="31"/>
      <c r="E159" s="31"/>
      <c r="F159" s="14"/>
    </row>
    <row r="160" spans="2:8" x14ac:dyDescent="0.3">
      <c r="B160" s="57" t="s">
        <v>13</v>
      </c>
      <c r="C160" s="78"/>
      <c r="D160" s="30"/>
      <c r="E160" s="30"/>
      <c r="F160" s="4"/>
    </row>
    <row r="161" spans="2:3" x14ac:dyDescent="0.3">
      <c r="B161" s="47" t="s">
        <v>191</v>
      </c>
      <c r="C161" s="49">
        <v>62146</v>
      </c>
    </row>
    <row r="162" spans="2:3" x14ac:dyDescent="0.3">
      <c r="B162" s="57" t="s">
        <v>17</v>
      </c>
      <c r="C162" s="78"/>
    </row>
    <row r="163" spans="2:3" x14ac:dyDescent="0.3">
      <c r="B163" s="47" t="s">
        <v>325</v>
      </c>
      <c r="C163" s="49">
        <v>16947.507500000011</v>
      </c>
    </row>
    <row r="165" spans="2:3" ht="28.8" x14ac:dyDescent="0.3">
      <c r="B165" s="84" t="s">
        <v>164</v>
      </c>
      <c r="C165" s="79" t="s">
        <v>165</v>
      </c>
    </row>
    <row r="166" spans="2:3" x14ac:dyDescent="0.3">
      <c r="B166" s="7" t="s">
        <v>8</v>
      </c>
      <c r="C166" s="85">
        <f>+SUM(C167:C168)</f>
        <v>11450.126</v>
      </c>
    </row>
    <row r="167" spans="2:3" x14ac:dyDescent="0.3">
      <c r="B167" s="57" t="s">
        <v>9</v>
      </c>
      <c r="C167" s="78"/>
    </row>
    <row r="168" spans="2:3" x14ac:dyDescent="0.3">
      <c r="B168" s="47" t="s">
        <v>323</v>
      </c>
      <c r="C168" s="49">
        <v>11450.126</v>
      </c>
    </row>
  </sheetData>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J159"/>
  <sheetViews>
    <sheetView zoomScaleNormal="100" workbookViewId="0"/>
  </sheetViews>
  <sheetFormatPr baseColWidth="10" defaultColWidth="9.109375" defaultRowHeight="14.4" x14ac:dyDescent="0.3"/>
  <cols>
    <col min="1" max="1" width="9.109375" style="1"/>
    <col min="2" max="2" width="39.33203125" style="1" customWidth="1"/>
    <col min="3" max="3" width="12" style="1" customWidth="1"/>
    <col min="4" max="5" width="11.109375" style="1" customWidth="1"/>
    <col min="6" max="6" width="14.44140625" style="1" customWidth="1"/>
    <col min="7" max="7" width="15.33203125" style="1" customWidth="1"/>
    <col min="8" max="8" width="16.88671875" style="1" customWidth="1"/>
    <col min="9" max="16384" width="9.109375" style="1"/>
  </cols>
  <sheetData>
    <row r="3" spans="2:10" ht="23.4" x14ac:dyDescent="0.45">
      <c r="B3" s="286" t="s">
        <v>356</v>
      </c>
      <c r="D3" s="286">
        <v>2014</v>
      </c>
    </row>
    <row r="4" spans="2:10" x14ac:dyDescent="0.3">
      <c r="G4" s="9"/>
      <c r="H4" s="9"/>
      <c r="I4" s="9"/>
      <c r="J4" s="9"/>
    </row>
    <row r="5" spans="2:10" x14ac:dyDescent="0.3">
      <c r="G5" s="9"/>
      <c r="H5" s="9"/>
      <c r="I5" s="9"/>
      <c r="J5" s="9"/>
    </row>
    <row r="6" spans="2:10" x14ac:dyDescent="0.3">
      <c r="B6" s="86" t="s">
        <v>160</v>
      </c>
      <c r="C6" s="87">
        <f>+C7+C9</f>
        <v>7743488.7027113661</v>
      </c>
      <c r="D6" s="32"/>
      <c r="E6" s="32"/>
      <c r="F6" s="32"/>
      <c r="G6" s="32"/>
      <c r="H6" s="9"/>
      <c r="I6" s="9"/>
      <c r="J6" s="9"/>
    </row>
    <row r="7" spans="2:10" x14ac:dyDescent="0.3">
      <c r="B7" s="88" t="s">
        <v>161</v>
      </c>
      <c r="C7" s="90">
        <f>+C84+C150+C157</f>
        <v>2317460.2385350005</v>
      </c>
      <c r="D7" s="98"/>
      <c r="E7" s="98"/>
      <c r="F7" s="98"/>
      <c r="G7" s="32"/>
      <c r="H7" s="9"/>
      <c r="I7" s="9"/>
      <c r="J7" s="9"/>
    </row>
    <row r="8" spans="2:10" x14ac:dyDescent="0.3">
      <c r="B8" s="88" t="s">
        <v>76</v>
      </c>
      <c r="C8" s="91">
        <f>+C7/C6</f>
        <v>0.29927857164995242</v>
      </c>
      <c r="D8" s="94"/>
      <c r="E8" s="94"/>
      <c r="F8" s="94"/>
      <c r="G8" s="32"/>
      <c r="H8" s="9"/>
      <c r="I8" s="9"/>
      <c r="J8" s="9"/>
    </row>
    <row r="9" spans="2:10" x14ac:dyDescent="0.3">
      <c r="B9" s="88" t="s">
        <v>162</v>
      </c>
      <c r="C9" s="90">
        <f>+C22</f>
        <v>5426028.4641763652</v>
      </c>
      <c r="D9" s="98"/>
      <c r="E9" s="98"/>
      <c r="F9" s="98"/>
      <c r="G9" s="32"/>
      <c r="H9" s="9"/>
      <c r="I9" s="9"/>
      <c r="J9" s="9"/>
    </row>
    <row r="10" spans="2:10" x14ac:dyDescent="0.3">
      <c r="B10" s="89" t="s">
        <v>77</v>
      </c>
      <c r="C10" s="92">
        <f>+C9/C6</f>
        <v>0.70072142835004758</v>
      </c>
      <c r="D10" s="94"/>
      <c r="E10" s="94"/>
      <c r="F10" s="94"/>
      <c r="G10" s="33"/>
      <c r="H10" s="9"/>
      <c r="I10" s="9"/>
      <c r="J10" s="9"/>
    </row>
    <row r="11" spans="2:10" x14ac:dyDescent="0.3">
      <c r="B11" s="93"/>
      <c r="C11" s="94"/>
      <c r="D11" s="94"/>
      <c r="E11" s="94"/>
      <c r="F11" s="94"/>
      <c r="G11" s="33"/>
      <c r="H11" s="9"/>
      <c r="I11" s="9"/>
      <c r="J11" s="9"/>
    </row>
    <row r="12" spans="2:10" x14ac:dyDescent="0.3">
      <c r="B12" s="86" t="s">
        <v>273</v>
      </c>
      <c r="C12" s="174"/>
      <c r="D12" s="94"/>
      <c r="E12" s="94"/>
      <c r="F12" s="94"/>
      <c r="G12" s="33"/>
      <c r="H12" s="9"/>
      <c r="I12" s="9"/>
      <c r="J12" s="9"/>
    </row>
    <row r="13" spans="2:10" x14ac:dyDescent="0.3">
      <c r="B13" s="178" t="s">
        <v>115</v>
      </c>
      <c r="C13" s="175">
        <v>3412.14</v>
      </c>
      <c r="D13" s="94"/>
      <c r="E13" s="94"/>
      <c r="F13" s="94"/>
      <c r="G13" s="33"/>
      <c r="H13" s="9"/>
      <c r="I13" s="9"/>
      <c r="J13" s="9"/>
    </row>
    <row r="14" spans="2:10" ht="15.6" x14ac:dyDescent="0.3">
      <c r="B14" s="178" t="s">
        <v>272</v>
      </c>
      <c r="C14" s="176">
        <v>5.6099999999999997E-2</v>
      </c>
      <c r="D14" s="94"/>
      <c r="E14" s="94"/>
      <c r="F14" s="94"/>
      <c r="G14" s="33"/>
      <c r="H14" s="9"/>
      <c r="I14" s="9"/>
      <c r="J14" s="9"/>
    </row>
    <row r="15" spans="2:10" ht="14.25" customHeight="1" x14ac:dyDescent="0.3">
      <c r="B15" s="179" t="s">
        <v>116</v>
      </c>
      <c r="C15" s="177">
        <v>3.6</v>
      </c>
      <c r="D15" s="94"/>
      <c r="E15" s="94"/>
      <c r="F15" s="94"/>
      <c r="G15" s="33"/>
      <c r="H15" s="9"/>
      <c r="I15" s="9"/>
      <c r="J15" s="9"/>
    </row>
    <row r="16" spans="2:10" ht="15" thickBot="1" x14ac:dyDescent="0.35">
      <c r="B16" s="93"/>
      <c r="C16" s="94"/>
      <c r="D16" s="94"/>
      <c r="E16" s="94"/>
      <c r="F16" s="94"/>
      <c r="G16" s="33"/>
      <c r="H16" s="9"/>
      <c r="I16" s="9"/>
      <c r="J16" s="9"/>
    </row>
    <row r="17" spans="2:10" ht="16.2" thickBot="1" x14ac:dyDescent="0.4">
      <c r="B17" s="96" t="s">
        <v>171</v>
      </c>
      <c r="C17" s="97">
        <f>+H22/C6</f>
        <v>0.41673904967390796</v>
      </c>
      <c r="D17" s="95"/>
      <c r="E17" s="95"/>
      <c r="F17" s="95"/>
      <c r="G17" s="33"/>
      <c r="H17" s="9"/>
      <c r="I17" s="9"/>
      <c r="J17" s="9"/>
    </row>
    <row r="18" spans="2:10" ht="15" thickBot="1" x14ac:dyDescent="0.35">
      <c r="B18" s="93"/>
      <c r="C18" s="95"/>
      <c r="D18" s="95"/>
      <c r="E18" s="95"/>
      <c r="F18" s="95"/>
      <c r="G18" s="33"/>
      <c r="H18" s="9"/>
      <c r="I18" s="9"/>
      <c r="J18" s="9"/>
    </row>
    <row r="19" spans="2:10" ht="16.2" thickBot="1" x14ac:dyDescent="0.4">
      <c r="B19" s="96" t="s">
        <v>171</v>
      </c>
      <c r="C19" s="97">
        <f>+H22/C9</f>
        <v>0.5947285651805766</v>
      </c>
      <c r="D19" s="95"/>
      <c r="E19" s="95"/>
      <c r="F19" s="95"/>
      <c r="G19" s="33"/>
      <c r="H19" s="9"/>
      <c r="I19" s="9"/>
      <c r="J19" s="9"/>
    </row>
    <row r="20" spans="2:10" x14ac:dyDescent="0.3">
      <c r="B20" s="93"/>
      <c r="C20" s="95"/>
      <c r="D20" s="95"/>
      <c r="E20" s="95"/>
      <c r="F20" s="95"/>
      <c r="G20" s="33"/>
      <c r="H20" s="9"/>
      <c r="I20" s="9"/>
      <c r="J20" s="9"/>
    </row>
    <row r="21" spans="2:10" ht="33" customHeight="1" x14ac:dyDescent="0.35">
      <c r="B21" s="81" t="s">
        <v>163</v>
      </c>
      <c r="C21" s="79" t="s">
        <v>197</v>
      </c>
      <c r="D21" s="79" t="s">
        <v>168</v>
      </c>
      <c r="E21" s="79" t="s">
        <v>169</v>
      </c>
      <c r="F21" s="79" t="s">
        <v>170</v>
      </c>
      <c r="G21" s="79" t="s">
        <v>209</v>
      </c>
      <c r="H21" s="80" t="s">
        <v>208</v>
      </c>
    </row>
    <row r="22" spans="2:10" x14ac:dyDescent="0.3">
      <c r="B22" s="16" t="s">
        <v>15</v>
      </c>
      <c r="C22" s="58">
        <f>SUM(C23:C81)</f>
        <v>5426028.4641763652</v>
      </c>
      <c r="D22" s="58"/>
      <c r="E22" s="58"/>
      <c r="F22" s="58"/>
      <c r="G22" s="17"/>
      <c r="H22" s="74">
        <f>SUM(H23:H81)</f>
        <v>3227014.1231285771</v>
      </c>
    </row>
    <row r="23" spans="2:10" x14ac:dyDescent="0.3">
      <c r="B23" s="75" t="s">
        <v>317</v>
      </c>
      <c r="C23" s="61"/>
      <c r="D23" s="106">
        <f>+SUM(D24)</f>
        <v>17.5</v>
      </c>
      <c r="E23" s="54">
        <f>+E24</f>
        <v>9682</v>
      </c>
      <c r="F23" s="51">
        <f t="shared" ref="F23:F81" si="0">1/(E23/$C$13)</f>
        <v>0.35242098739929767</v>
      </c>
      <c r="G23" s="46">
        <f t="shared" ref="G23:G81" si="1">+$C$14*$C$15/F23</f>
        <v>0.57306462220190257</v>
      </c>
      <c r="H23" s="65">
        <f>+G23*C23</f>
        <v>0</v>
      </c>
    </row>
    <row r="24" spans="2:10" x14ac:dyDescent="0.3">
      <c r="B24" s="76" t="s">
        <v>318</v>
      </c>
      <c r="C24" s="49">
        <v>108265.76249999998</v>
      </c>
      <c r="D24" s="50">
        <v>17.5</v>
      </c>
      <c r="E24" s="49">
        <v>9682</v>
      </c>
      <c r="F24" s="55">
        <f>1/(E24/$C$13)</f>
        <v>0.35242098739929767</v>
      </c>
      <c r="G24" s="59">
        <f>+$C$14*$C$15/F24</f>
        <v>0.57306462220190257</v>
      </c>
      <c r="H24" s="60">
        <f>+G24*C24</f>
        <v>62043.278284463398</v>
      </c>
    </row>
    <row r="25" spans="2:10" x14ac:dyDescent="0.3">
      <c r="B25" s="76" t="s">
        <v>324</v>
      </c>
      <c r="C25" s="49">
        <v>74350.106548000011</v>
      </c>
      <c r="D25" s="50">
        <v>32.4</v>
      </c>
      <c r="E25" s="49">
        <v>8140</v>
      </c>
      <c r="F25" s="55">
        <f>1/(E25/$C$13)</f>
        <v>0.41918181818181821</v>
      </c>
      <c r="G25" s="59">
        <f>+$C$14*$C$15/F25</f>
        <v>0.48179570592062454</v>
      </c>
      <c r="H25" s="60">
        <f>+G25*C25</f>
        <v>35821.562069567313</v>
      </c>
    </row>
    <row r="26" spans="2:10" x14ac:dyDescent="0.3">
      <c r="B26" s="75" t="s">
        <v>19</v>
      </c>
      <c r="C26" s="61"/>
      <c r="D26" s="106">
        <f>+SUM(D27:D37)</f>
        <v>41</v>
      </c>
      <c r="E26" s="54">
        <f>SUMPRODUCT(D27:D37,E27:E37)/D26</f>
        <v>10376.951219512195</v>
      </c>
      <c r="F26" s="51">
        <f t="shared" si="0"/>
        <v>0.32881912305649247</v>
      </c>
      <c r="G26" s="46">
        <f t="shared" si="1"/>
        <v>0.6141978548045165</v>
      </c>
      <c r="H26" s="65">
        <f>+G26*C26</f>
        <v>0</v>
      </c>
    </row>
    <row r="27" spans="2:10" x14ac:dyDescent="0.3">
      <c r="B27" s="76" t="s">
        <v>87</v>
      </c>
      <c r="C27" s="49">
        <v>5457.5982823000022</v>
      </c>
      <c r="D27" s="50">
        <v>3</v>
      </c>
      <c r="E27" s="49">
        <v>10201</v>
      </c>
      <c r="F27" s="55">
        <f>1/(E27/$C$13)</f>
        <v>0.33449073620233311</v>
      </c>
      <c r="G27" s="59">
        <f>+$C$14*$C$15/F27</f>
        <v>0.60378353760396697</v>
      </c>
      <c r="H27" s="60">
        <f>+G27*C27</f>
        <v>3295.207997708429</v>
      </c>
    </row>
    <row r="28" spans="2:10" x14ac:dyDescent="0.3">
      <c r="B28" s="76" t="s">
        <v>88</v>
      </c>
      <c r="C28" s="49">
        <v>1826.3282691160052</v>
      </c>
      <c r="D28" s="50">
        <v>3</v>
      </c>
      <c r="E28" s="49">
        <v>10201</v>
      </c>
      <c r="F28" s="55">
        <f t="shared" si="0"/>
        <v>0.33449073620233311</v>
      </c>
      <c r="G28" s="59">
        <f t="shared" si="1"/>
        <v>0.60378353760396697</v>
      </c>
      <c r="H28" s="60">
        <f t="shared" ref="H28:H37" si="2">+G28*C28</f>
        <v>1102.7069431529915</v>
      </c>
    </row>
    <row r="29" spans="2:10" x14ac:dyDescent="0.3">
      <c r="B29" s="76" t="s">
        <v>89</v>
      </c>
      <c r="C29" s="49">
        <v>5453.1379999999999</v>
      </c>
      <c r="D29" s="50">
        <v>3</v>
      </c>
      <c r="E29" s="49">
        <v>10201</v>
      </c>
      <c r="F29" s="55">
        <f t="shared" si="0"/>
        <v>0.33449073620233311</v>
      </c>
      <c r="G29" s="59">
        <f t="shared" si="1"/>
        <v>0.60378353760396697</v>
      </c>
      <c r="H29" s="60">
        <f t="shared" si="2"/>
        <v>3292.5149526826212</v>
      </c>
    </row>
    <row r="30" spans="2:10" x14ac:dyDescent="0.3">
      <c r="B30" s="76" t="s">
        <v>92</v>
      </c>
      <c r="C30" s="49">
        <v>105427.86</v>
      </c>
      <c r="D30" s="50">
        <v>18</v>
      </c>
      <c r="E30" s="49">
        <v>11497</v>
      </c>
      <c r="F30" s="55">
        <f t="shared" si="0"/>
        <v>0.29678524832565017</v>
      </c>
      <c r="G30" s="59">
        <f t="shared" si="1"/>
        <v>0.68049204311663647</v>
      </c>
      <c r="H30" s="60">
        <f t="shared" si="2"/>
        <v>71742.819852814719</v>
      </c>
    </row>
    <row r="31" spans="2:10" x14ac:dyDescent="0.3">
      <c r="B31" s="76" t="s">
        <v>93</v>
      </c>
      <c r="C31" s="49">
        <v>10782.301104999993</v>
      </c>
      <c r="D31" s="50">
        <v>2</v>
      </c>
      <c r="E31" s="49">
        <v>9050</v>
      </c>
      <c r="F31" s="55">
        <f t="shared" si="0"/>
        <v>0.37703204419889497</v>
      </c>
      <c r="G31" s="59">
        <f t="shared" si="1"/>
        <v>0.53565738803214413</v>
      </c>
      <c r="H31" s="60">
        <f t="shared" si="2"/>
        <v>5775.6192468803974</v>
      </c>
    </row>
    <row r="32" spans="2:10" x14ac:dyDescent="0.3">
      <c r="B32" s="76" t="s">
        <v>94</v>
      </c>
      <c r="C32" s="49">
        <v>2009.3795900000014</v>
      </c>
      <c r="D32" s="50">
        <v>2</v>
      </c>
      <c r="E32" s="49">
        <v>9050</v>
      </c>
      <c r="F32" s="55">
        <f t="shared" si="0"/>
        <v>0.37703204419889497</v>
      </c>
      <c r="G32" s="59">
        <f t="shared" si="1"/>
        <v>0.53565738803214413</v>
      </c>
      <c r="H32" s="60">
        <f t="shared" si="2"/>
        <v>1076.3390227445013</v>
      </c>
    </row>
    <row r="33" spans="2:8" x14ac:dyDescent="0.3">
      <c r="B33" s="76" t="s">
        <v>95</v>
      </c>
      <c r="C33" s="49">
        <v>5505.7637099999756</v>
      </c>
      <c r="D33" s="50">
        <v>2</v>
      </c>
      <c r="E33" s="49">
        <v>9050</v>
      </c>
      <c r="F33" s="55">
        <f t="shared" si="0"/>
        <v>0.37703204419889497</v>
      </c>
      <c r="G33" s="59">
        <f t="shared" si="1"/>
        <v>0.53565738803214413</v>
      </c>
      <c r="H33" s="60">
        <f t="shared" si="2"/>
        <v>2949.2030080207546</v>
      </c>
    </row>
    <row r="34" spans="2:8" x14ac:dyDescent="0.3">
      <c r="B34" s="76" t="s">
        <v>96</v>
      </c>
      <c r="C34" s="49">
        <v>9975.9341299999905</v>
      </c>
      <c r="D34" s="50">
        <v>2</v>
      </c>
      <c r="E34" s="49">
        <v>9050</v>
      </c>
      <c r="F34" s="55">
        <f t="shared" si="0"/>
        <v>0.37703204419889497</v>
      </c>
      <c r="G34" s="59">
        <f t="shared" si="1"/>
        <v>0.53565738803214413</v>
      </c>
      <c r="H34" s="60">
        <f t="shared" si="2"/>
        <v>5343.6828192565154</v>
      </c>
    </row>
    <row r="35" spans="2:8" x14ac:dyDescent="0.3">
      <c r="B35" s="76" t="s">
        <v>97</v>
      </c>
      <c r="C35" s="49">
        <v>4970.5611999999865</v>
      </c>
      <c r="D35" s="50">
        <v>2</v>
      </c>
      <c r="E35" s="49">
        <v>9050</v>
      </c>
      <c r="F35" s="55">
        <f t="shared" si="0"/>
        <v>0.37703204419889497</v>
      </c>
      <c r="G35" s="59">
        <f t="shared" si="1"/>
        <v>0.53565738803214413</v>
      </c>
      <c r="H35" s="60">
        <f t="shared" si="2"/>
        <v>2662.5178294459129</v>
      </c>
    </row>
    <row r="36" spans="2:8" x14ac:dyDescent="0.3">
      <c r="B36" s="76" t="s">
        <v>98</v>
      </c>
      <c r="C36" s="53">
        <v>7007.9093999999996</v>
      </c>
      <c r="D36" s="50">
        <v>2</v>
      </c>
      <c r="E36" s="49">
        <v>9050</v>
      </c>
      <c r="F36" s="55">
        <f t="shared" si="0"/>
        <v>0.37703204419889497</v>
      </c>
      <c r="G36" s="59">
        <f t="shared" si="1"/>
        <v>0.53565738803214413</v>
      </c>
      <c r="H36" s="60">
        <f t="shared" si="2"/>
        <v>3753.83844476991</v>
      </c>
    </row>
    <row r="37" spans="2:8" x14ac:dyDescent="0.3">
      <c r="B37" s="76" t="s">
        <v>99</v>
      </c>
      <c r="C37" s="49">
        <v>9947.2014000000054</v>
      </c>
      <c r="D37" s="50">
        <v>2</v>
      </c>
      <c r="E37" s="49">
        <v>9050</v>
      </c>
      <c r="F37" s="56">
        <f t="shared" si="0"/>
        <v>0.37703204419889497</v>
      </c>
      <c r="G37" s="59">
        <f t="shared" si="1"/>
        <v>0.53565738803214413</v>
      </c>
      <c r="H37" s="60">
        <f t="shared" si="2"/>
        <v>5328.2919201536906</v>
      </c>
    </row>
    <row r="38" spans="2:8" x14ac:dyDescent="0.3">
      <c r="B38" s="77" t="s">
        <v>20</v>
      </c>
      <c r="C38" s="61"/>
      <c r="D38" s="107">
        <f>+SUM(D39:D40)</f>
        <v>90</v>
      </c>
      <c r="E38" s="44">
        <f>SUMPRODUCT(D39:D40,E39:E40)/D38</f>
        <v>8562</v>
      </c>
      <c r="F38" s="51">
        <f t="shared" si="0"/>
        <v>0.39852137351086198</v>
      </c>
      <c r="G38" s="46">
        <f t="shared" si="1"/>
        <v>0.50677332114157092</v>
      </c>
      <c r="H38" s="65">
        <f>+G38*C38</f>
        <v>0</v>
      </c>
    </row>
    <row r="39" spans="2:8" x14ac:dyDescent="0.3">
      <c r="B39" s="76" t="s">
        <v>113</v>
      </c>
      <c r="C39" s="49">
        <v>269807.61800000013</v>
      </c>
      <c r="D39" s="50">
        <v>45</v>
      </c>
      <c r="E39" s="49">
        <v>8398</v>
      </c>
      <c r="F39" s="55">
        <f t="shared" si="0"/>
        <v>0.40630388187663724</v>
      </c>
      <c r="G39" s="59">
        <f t="shared" si="1"/>
        <v>0.49706638062916536</v>
      </c>
      <c r="H39" s="60">
        <f t="shared" ref="H39:H40" si="3">+G39*C39</f>
        <v>134112.2961454365</v>
      </c>
    </row>
    <row r="40" spans="2:8" x14ac:dyDescent="0.3">
      <c r="B40" s="76" t="s">
        <v>114</v>
      </c>
      <c r="C40" s="49">
        <v>173568.66000000032</v>
      </c>
      <c r="D40" s="50">
        <v>45</v>
      </c>
      <c r="E40" s="49">
        <v>8726</v>
      </c>
      <c r="F40" s="56">
        <f t="shared" si="0"/>
        <v>0.39103140041256013</v>
      </c>
      <c r="G40" s="59">
        <f t="shared" si="1"/>
        <v>0.51648026165397676</v>
      </c>
      <c r="H40" s="60">
        <f t="shared" si="3"/>
        <v>89644.786931730298</v>
      </c>
    </row>
    <row r="41" spans="2:8" x14ac:dyDescent="0.3">
      <c r="B41" s="76" t="s">
        <v>326</v>
      </c>
      <c r="C41" s="49">
        <v>265758.58129</v>
      </c>
      <c r="D41" s="50">
        <v>49.02</v>
      </c>
      <c r="E41" s="49">
        <v>8536</v>
      </c>
      <c r="F41" s="56">
        <f t="shared" si="0"/>
        <v>0.39973523898781627</v>
      </c>
      <c r="G41" s="59">
        <f t="shared" si="1"/>
        <v>0.50523441593838481</v>
      </c>
      <c r="H41" s="60">
        <f t="shared" ref="H41" si="4">+G41*C41</f>
        <v>134270.38159866692</v>
      </c>
    </row>
    <row r="42" spans="2:8" x14ac:dyDescent="0.3">
      <c r="B42" s="77" t="s">
        <v>18</v>
      </c>
      <c r="C42" s="44">
        <v>815783.94000000006</v>
      </c>
      <c r="D42" s="107">
        <f>+SUM(D43:D44)</f>
        <v>112</v>
      </c>
      <c r="E42" s="44">
        <f>SUMPRODUCT(D43:D45,E43:E45)/D42</f>
        <v>11949.967857142856</v>
      </c>
      <c r="F42" s="51">
        <f>1/(E42/$C$13)</f>
        <v>0.2855354960608083</v>
      </c>
      <c r="G42" s="46">
        <f t="shared" si="1"/>
        <v>0.70730260435637793</v>
      </c>
      <c r="H42" s="101">
        <f>+G42*C42</f>
        <v>577006.10535410722</v>
      </c>
    </row>
    <row r="43" spans="2:8" x14ac:dyDescent="0.3">
      <c r="B43" s="76" t="s">
        <v>105</v>
      </c>
      <c r="C43" s="111"/>
      <c r="D43" s="50">
        <v>56</v>
      </c>
      <c r="E43" s="49">
        <v>9830</v>
      </c>
      <c r="F43" s="55">
        <f t="shared" si="0"/>
        <v>0.34711495422177008</v>
      </c>
      <c r="G43" s="59">
        <f t="shared" si="1"/>
        <v>0.58182454412773221</v>
      </c>
      <c r="H43" s="265"/>
    </row>
    <row r="44" spans="2:8" x14ac:dyDescent="0.3">
      <c r="B44" s="76" t="s">
        <v>106</v>
      </c>
      <c r="C44" s="269"/>
      <c r="D44" s="50">
        <v>56</v>
      </c>
      <c r="E44" s="49">
        <v>9830</v>
      </c>
      <c r="F44" s="55">
        <f t="shared" si="0"/>
        <v>0.34711495422177008</v>
      </c>
      <c r="G44" s="59">
        <f t="shared" si="1"/>
        <v>0.58182454412773221</v>
      </c>
      <c r="H44" s="71"/>
    </row>
    <row r="45" spans="2:8" x14ac:dyDescent="0.3">
      <c r="B45" s="76" t="s">
        <v>315</v>
      </c>
      <c r="C45" s="53"/>
      <c r="D45" s="50">
        <v>24.4</v>
      </c>
      <c r="E45" s="49">
        <v>9731</v>
      </c>
      <c r="F45" s="55">
        <f t="shared" si="0"/>
        <v>0.35064638783269964</v>
      </c>
      <c r="G45" s="59">
        <f t="shared" si="1"/>
        <v>0.57596486662329205</v>
      </c>
      <c r="H45" s="60">
        <f t="shared" ref="H45" si="5">+G45*C45</f>
        <v>0</v>
      </c>
    </row>
    <row r="46" spans="2:8" x14ac:dyDescent="0.3">
      <c r="B46" s="77" t="s">
        <v>23</v>
      </c>
      <c r="C46" s="44"/>
      <c r="D46" s="107">
        <f>+SUM(D47:D48)</f>
        <v>46</v>
      </c>
      <c r="E46" s="44">
        <f>SUMPRODUCT(D47:D48,E47:E48)/D46</f>
        <v>10149.5</v>
      </c>
      <c r="F46" s="51">
        <f t="shared" si="0"/>
        <v>0.33618798955613577</v>
      </c>
      <c r="G46" s="46">
        <f t="shared" si="1"/>
        <v>0.60073532152842501</v>
      </c>
      <c r="H46" s="101">
        <f>+G46*C46</f>
        <v>0</v>
      </c>
    </row>
    <row r="47" spans="2:8" x14ac:dyDescent="0.3">
      <c r="B47" s="76" t="s">
        <v>107</v>
      </c>
      <c r="C47" s="53">
        <v>173128</v>
      </c>
      <c r="D47" s="50">
        <v>23</v>
      </c>
      <c r="E47" s="49">
        <v>10115</v>
      </c>
      <c r="F47" s="55">
        <f t="shared" si="0"/>
        <v>0.3373346515076619</v>
      </c>
      <c r="G47" s="59">
        <f t="shared" si="1"/>
        <v>0.59869331270112014</v>
      </c>
      <c r="H47" s="60">
        <f t="shared" ref="H47:H50" si="6">+G47*C47</f>
        <v>103650.57584131953</v>
      </c>
    </row>
    <row r="48" spans="2:8" x14ac:dyDescent="0.3">
      <c r="B48" s="76" t="s">
        <v>108</v>
      </c>
      <c r="C48" s="53">
        <v>165138</v>
      </c>
      <c r="D48" s="50">
        <v>23</v>
      </c>
      <c r="E48" s="49">
        <v>10184</v>
      </c>
      <c r="F48" s="55">
        <f t="shared" si="0"/>
        <v>0.33504909662215238</v>
      </c>
      <c r="G48" s="59">
        <f t="shared" si="1"/>
        <v>0.60277733035572989</v>
      </c>
      <c r="H48" s="60">
        <f t="shared" si="6"/>
        <v>99541.442780284517</v>
      </c>
    </row>
    <row r="49" spans="2:8" x14ac:dyDescent="0.3">
      <c r="B49" s="76" t="s">
        <v>109</v>
      </c>
      <c r="C49" s="53">
        <v>173443</v>
      </c>
      <c r="D49" s="50">
        <v>25</v>
      </c>
      <c r="E49" s="49">
        <v>10069</v>
      </c>
      <c r="F49" s="55">
        <f t="shared" si="0"/>
        <v>0.33887575727480385</v>
      </c>
      <c r="G49" s="59">
        <f t="shared" si="1"/>
        <v>0.59597063426471364</v>
      </c>
      <c r="H49" s="60">
        <f t="shared" si="6"/>
        <v>103366.93471877473</v>
      </c>
    </row>
    <row r="50" spans="2:8" x14ac:dyDescent="0.3">
      <c r="B50" s="76" t="s">
        <v>110</v>
      </c>
      <c r="C50" s="53">
        <v>193663</v>
      </c>
      <c r="D50" s="50">
        <v>25</v>
      </c>
      <c r="E50" s="49">
        <v>9991</v>
      </c>
      <c r="F50" s="55">
        <f t="shared" si="0"/>
        <v>0.34152136923230908</v>
      </c>
      <c r="G50" s="59">
        <f t="shared" si="1"/>
        <v>0.59135391865515485</v>
      </c>
      <c r="H50" s="60">
        <f t="shared" si="6"/>
        <v>114523.37394851325</v>
      </c>
    </row>
    <row r="51" spans="2:8" x14ac:dyDescent="0.3">
      <c r="B51" s="77" t="s">
        <v>16</v>
      </c>
      <c r="C51" s="61"/>
      <c r="D51" s="107">
        <f>+SUM(D52:D59)</f>
        <v>368</v>
      </c>
      <c r="E51" s="44">
        <f>SUMPRODUCT(D52:D59,E52:E59)/D51</f>
        <v>9872.152173913044</v>
      </c>
      <c r="F51" s="51">
        <f t="shared" si="0"/>
        <v>0.34563284073117395</v>
      </c>
      <c r="G51" s="46">
        <f t="shared" si="1"/>
        <v>0.58431947488774738</v>
      </c>
      <c r="H51" s="65">
        <f>+G51*C51</f>
        <v>0</v>
      </c>
    </row>
    <row r="52" spans="2:8" x14ac:dyDescent="0.3">
      <c r="B52" s="76" t="s">
        <v>78</v>
      </c>
      <c r="C52" s="49">
        <v>15638.4</v>
      </c>
      <c r="D52" s="50">
        <v>22</v>
      </c>
      <c r="E52" s="49">
        <v>11971</v>
      </c>
      <c r="F52" s="55">
        <f t="shared" si="0"/>
        <v>0.2850338317600869</v>
      </c>
      <c r="G52" s="59">
        <f t="shared" si="1"/>
        <v>0.70854746874395536</v>
      </c>
      <c r="H52" s="60">
        <f t="shared" ref="H52:H59" si="7">+G52*C52</f>
        <v>11080.548735205472</v>
      </c>
    </row>
    <row r="53" spans="2:8" x14ac:dyDescent="0.3">
      <c r="B53" s="76" t="s">
        <v>79</v>
      </c>
      <c r="C53" s="49">
        <v>14575.08</v>
      </c>
      <c r="D53" s="50">
        <v>20</v>
      </c>
      <c r="E53" s="49">
        <v>12595</v>
      </c>
      <c r="F53" s="55">
        <f t="shared" si="0"/>
        <v>0.27091226677252878</v>
      </c>
      <c r="G53" s="59">
        <f t="shared" si="1"/>
        <v>0.74548119362042586</v>
      </c>
      <c r="H53" s="60">
        <f t="shared" si="7"/>
        <v>10865.448035513196</v>
      </c>
    </row>
    <row r="54" spans="2:8" x14ac:dyDescent="0.3">
      <c r="B54" s="76" t="s">
        <v>80</v>
      </c>
      <c r="C54" s="49">
        <v>24451.464</v>
      </c>
      <c r="D54" s="50">
        <v>20</v>
      </c>
      <c r="E54" s="49">
        <v>12834</v>
      </c>
      <c r="F54" s="55">
        <f t="shared" si="0"/>
        <v>0.26586722767648435</v>
      </c>
      <c r="G54" s="59">
        <f t="shared" si="1"/>
        <v>0.75962728375740729</v>
      </c>
      <c r="H54" s="60">
        <f t="shared" si="7"/>
        <v>18573.999182212028</v>
      </c>
    </row>
    <row r="55" spans="2:8" x14ac:dyDescent="0.3">
      <c r="B55" s="76" t="s">
        <v>81</v>
      </c>
      <c r="C55" s="49">
        <v>52400.755703329996</v>
      </c>
      <c r="D55" s="50">
        <v>21</v>
      </c>
      <c r="E55" s="49">
        <v>12644</v>
      </c>
      <c r="F55" s="56">
        <f t="shared" si="0"/>
        <v>0.26986238532110091</v>
      </c>
      <c r="G55" s="59">
        <f t="shared" si="1"/>
        <v>0.74838143804181545</v>
      </c>
      <c r="H55" s="60">
        <f t="shared" si="7"/>
        <v>39215.752907735965</v>
      </c>
    </row>
    <row r="56" spans="2:8" x14ac:dyDescent="0.3">
      <c r="B56" s="76" t="s">
        <v>82</v>
      </c>
      <c r="C56" s="49">
        <v>420127.47135156026</v>
      </c>
      <c r="D56" s="50">
        <v>63</v>
      </c>
      <c r="E56" s="49">
        <v>10070</v>
      </c>
      <c r="F56" s="100">
        <f t="shared" si="0"/>
        <v>0.33884210526315789</v>
      </c>
      <c r="G56" s="102">
        <f t="shared" si="1"/>
        <v>0.59602982292637463</v>
      </c>
      <c r="H56" s="103">
        <f t="shared" si="7"/>
        <v>250408.502356176</v>
      </c>
    </row>
    <row r="57" spans="2:8" x14ac:dyDescent="0.3">
      <c r="B57" s="76" t="s">
        <v>83</v>
      </c>
      <c r="C57" s="49">
        <v>412122.105063011</v>
      </c>
      <c r="D57" s="50">
        <v>63</v>
      </c>
      <c r="E57" s="49">
        <v>10070</v>
      </c>
      <c r="F57" s="55">
        <f t="shared" si="0"/>
        <v>0.33884210526315789</v>
      </c>
      <c r="G57" s="59">
        <f t="shared" si="1"/>
        <v>0.59602982292637463</v>
      </c>
      <c r="H57" s="60">
        <f t="shared" si="7"/>
        <v>245637.06530475122</v>
      </c>
    </row>
    <row r="58" spans="2:8" x14ac:dyDescent="0.3">
      <c r="B58" s="76" t="s">
        <v>84</v>
      </c>
      <c r="C58" s="49">
        <v>301526.55250000005</v>
      </c>
      <c r="D58" s="50">
        <v>63</v>
      </c>
      <c r="E58" s="49">
        <v>10070</v>
      </c>
      <c r="F58" s="55">
        <f t="shared" si="0"/>
        <v>0.33884210526315789</v>
      </c>
      <c r="G58" s="59">
        <f t="shared" si="1"/>
        <v>0.59602982292637463</v>
      </c>
      <c r="H58" s="60">
        <f t="shared" si="7"/>
        <v>179718.81769417523</v>
      </c>
    </row>
    <row r="59" spans="2:8" x14ac:dyDescent="0.3">
      <c r="B59" s="76" t="s">
        <v>314</v>
      </c>
      <c r="C59" s="49">
        <v>523552.59600000002</v>
      </c>
      <c r="D59" s="50">
        <v>96</v>
      </c>
      <c r="E59" s="49">
        <v>7211</v>
      </c>
      <c r="F59" s="55">
        <f t="shared" si="0"/>
        <v>0.47318541117736784</v>
      </c>
      <c r="G59" s="59">
        <f t="shared" si="1"/>
        <v>0.426809439237546</v>
      </c>
      <c r="H59" s="60">
        <f t="shared" si="7"/>
        <v>223457.18991012147</v>
      </c>
    </row>
    <row r="60" spans="2:8" x14ac:dyDescent="0.3">
      <c r="B60" s="77" t="s">
        <v>21</v>
      </c>
      <c r="C60" s="61"/>
      <c r="D60" s="107">
        <f>+D61</f>
        <v>14</v>
      </c>
      <c r="E60" s="44">
        <f>+E61</f>
        <v>11860</v>
      </c>
      <c r="F60" s="51">
        <f t="shared" si="0"/>
        <v>0.2877015177065767</v>
      </c>
      <c r="G60" s="46">
        <f t="shared" si="1"/>
        <v>0.70197752729958329</v>
      </c>
      <c r="H60" s="65">
        <f>+G60*C60</f>
        <v>0</v>
      </c>
    </row>
    <row r="61" spans="2:8" x14ac:dyDescent="0.3">
      <c r="B61" s="76" t="s">
        <v>100</v>
      </c>
      <c r="C61" s="49">
        <v>61003.532321999912</v>
      </c>
      <c r="D61" s="50">
        <v>14</v>
      </c>
      <c r="E61" s="49">
        <v>11860</v>
      </c>
      <c r="F61" s="55">
        <f t="shared" si="0"/>
        <v>0.2877015177065767</v>
      </c>
      <c r="G61" s="59">
        <f t="shared" si="1"/>
        <v>0.70197752729958329</v>
      </c>
      <c r="H61" s="60">
        <f t="shared" ref="H61" si="8">+G61*C61</f>
        <v>42823.108775937704</v>
      </c>
    </row>
    <row r="62" spans="2:8" x14ac:dyDescent="0.3">
      <c r="B62" s="77" t="s">
        <v>22</v>
      </c>
      <c r="C62" s="61"/>
      <c r="D62" s="107">
        <f>+SUM(D63:D64)</f>
        <v>18</v>
      </c>
      <c r="E62" s="44">
        <f>SUMPRODUCT(D63:D64,E63:E64)/D62</f>
        <v>12028</v>
      </c>
      <c r="F62" s="51">
        <f t="shared" si="0"/>
        <v>0.28368307283006317</v>
      </c>
      <c r="G62" s="46">
        <f t="shared" si="1"/>
        <v>0.7119212224586331</v>
      </c>
      <c r="H62" s="65">
        <f>+G62*C62</f>
        <v>0</v>
      </c>
    </row>
    <row r="63" spans="2:8" x14ac:dyDescent="0.3">
      <c r="B63" s="76" t="s">
        <v>111</v>
      </c>
      <c r="C63" s="49">
        <v>43520.745187</v>
      </c>
      <c r="D63" s="50">
        <v>9</v>
      </c>
      <c r="E63" s="49">
        <v>12074</v>
      </c>
      <c r="F63" s="55">
        <f t="shared" si="0"/>
        <v>0.28260228590359449</v>
      </c>
      <c r="G63" s="59">
        <f t="shared" si="1"/>
        <v>0.71464390089503949</v>
      </c>
      <c r="H63" s="60">
        <f t="shared" ref="H63:H64" si="9">+G63*C63</f>
        <v>31101.835110296695</v>
      </c>
    </row>
    <row r="64" spans="2:8" x14ac:dyDescent="0.3">
      <c r="B64" s="76" t="s">
        <v>112</v>
      </c>
      <c r="C64" s="49">
        <v>46932.179499999998</v>
      </c>
      <c r="D64" s="50">
        <v>9</v>
      </c>
      <c r="E64" s="49">
        <v>11982</v>
      </c>
      <c r="F64" s="55">
        <f t="shared" si="0"/>
        <v>0.28477215823735602</v>
      </c>
      <c r="G64" s="59">
        <f t="shared" si="1"/>
        <v>0.7091985440222266</v>
      </c>
      <c r="H64" s="60">
        <f t="shared" si="9"/>
        <v>33284.233369189787</v>
      </c>
    </row>
    <row r="65" spans="2:8" x14ac:dyDescent="0.3">
      <c r="B65" s="77" t="s">
        <v>17</v>
      </c>
      <c r="C65" s="61"/>
      <c r="D65" s="107">
        <f>+SUM(D66:D67)</f>
        <v>44</v>
      </c>
      <c r="E65" s="44">
        <f>SUMPRODUCT(D66:D67,E66:E67)/D65</f>
        <v>11761</v>
      </c>
      <c r="F65" s="51">
        <f t="shared" si="0"/>
        <v>0.29012328883598332</v>
      </c>
      <c r="G65" s="46">
        <f t="shared" si="1"/>
        <v>0.69611784979514324</v>
      </c>
      <c r="H65" s="65">
        <f>+G65*C65</f>
        <v>0</v>
      </c>
    </row>
    <row r="66" spans="2:8" x14ac:dyDescent="0.3">
      <c r="B66" s="76" t="s">
        <v>85</v>
      </c>
      <c r="C66" s="49">
        <v>44110.71</v>
      </c>
      <c r="D66" s="50">
        <v>22</v>
      </c>
      <c r="E66" s="49">
        <v>11850</v>
      </c>
      <c r="F66" s="55">
        <f t="shared" si="0"/>
        <v>0.28794430379746838</v>
      </c>
      <c r="G66" s="59">
        <f t="shared" si="1"/>
        <v>0.70138564068297304</v>
      </c>
      <c r="H66" s="60">
        <f t="shared" ref="H66:H67" si="10">+G66*C66</f>
        <v>30938.618594330826</v>
      </c>
    </row>
    <row r="67" spans="2:8" x14ac:dyDescent="0.3">
      <c r="B67" s="76" t="s">
        <v>86</v>
      </c>
      <c r="C67" s="49">
        <v>29892.711125046593</v>
      </c>
      <c r="D67" s="50">
        <v>22</v>
      </c>
      <c r="E67" s="49">
        <v>11672</v>
      </c>
      <c r="F67" s="55">
        <f t="shared" si="0"/>
        <v>0.29233550376970524</v>
      </c>
      <c r="G67" s="59">
        <f t="shared" si="1"/>
        <v>0.69085005890731344</v>
      </c>
      <c r="H67" s="60">
        <f t="shared" si="10"/>
        <v>20651.381241637744</v>
      </c>
    </row>
    <row r="68" spans="2:8" x14ac:dyDescent="0.3">
      <c r="B68" s="77" t="s">
        <v>24</v>
      </c>
      <c r="C68" s="61"/>
      <c r="D68" s="107">
        <f>+SUM(D69:D72)</f>
        <v>175.36</v>
      </c>
      <c r="E68" s="44">
        <f>SUMPRODUCT(D69:D72,E69:E72)/D68</f>
        <v>9456.0062157846714</v>
      </c>
      <c r="F68" s="51">
        <f t="shared" si="0"/>
        <v>0.36084367143331625</v>
      </c>
      <c r="G68" s="46">
        <f t="shared" si="1"/>
        <v>0.5596883525704901</v>
      </c>
      <c r="H68" s="65">
        <f>+G68*C68</f>
        <v>0</v>
      </c>
    </row>
    <row r="69" spans="2:8" x14ac:dyDescent="0.3">
      <c r="B69" s="76" t="s">
        <v>327</v>
      </c>
      <c r="C69" s="49">
        <v>84605.7</v>
      </c>
      <c r="D69" s="270">
        <v>43.83</v>
      </c>
      <c r="E69" s="49">
        <v>9275</v>
      </c>
      <c r="F69" s="55">
        <f t="shared" si="0"/>
        <v>0.36788571428571426</v>
      </c>
      <c r="G69" s="59">
        <f t="shared" si="1"/>
        <v>0.54897483690587145</v>
      </c>
      <c r="H69" s="60">
        <f t="shared" ref="H69:H72" si="11">+G69*C69</f>
        <v>46446.400358807085</v>
      </c>
    </row>
    <row r="70" spans="2:8" x14ac:dyDescent="0.3">
      <c r="B70" s="76" t="s">
        <v>328</v>
      </c>
      <c r="C70" s="49">
        <v>129537</v>
      </c>
      <c r="D70" s="270">
        <v>43.31</v>
      </c>
      <c r="E70" s="49">
        <v>9572</v>
      </c>
      <c r="F70" s="55">
        <f t="shared" si="0"/>
        <v>0.35647095695779352</v>
      </c>
      <c r="G70" s="59">
        <f t="shared" si="1"/>
        <v>0.5665538694191915</v>
      </c>
      <c r="H70" s="60">
        <f t="shared" si="11"/>
        <v>73389.688582953808</v>
      </c>
    </row>
    <row r="71" spans="2:8" x14ac:dyDescent="0.3">
      <c r="B71" s="76" t="s">
        <v>329</v>
      </c>
      <c r="C71" s="49">
        <v>108702.3</v>
      </c>
      <c r="D71" s="270">
        <v>44.16</v>
      </c>
      <c r="E71" s="49">
        <v>9480</v>
      </c>
      <c r="F71" s="55">
        <f t="shared" si="0"/>
        <v>0.35993037974683539</v>
      </c>
      <c r="G71" s="59">
        <f t="shared" si="1"/>
        <v>0.56110851254637861</v>
      </c>
      <c r="H71" s="60">
        <f t="shared" si="11"/>
        <v>60993.785863370213</v>
      </c>
    </row>
    <row r="72" spans="2:8" x14ac:dyDescent="0.3">
      <c r="B72" s="76" t="s">
        <v>330</v>
      </c>
      <c r="C72" s="49">
        <v>73180</v>
      </c>
      <c r="D72" s="270">
        <v>44.06</v>
      </c>
      <c r="E72" s="49">
        <v>9498</v>
      </c>
      <c r="F72" s="55">
        <f t="shared" si="0"/>
        <v>0.35924826279216676</v>
      </c>
      <c r="G72" s="59">
        <f t="shared" si="1"/>
        <v>0.56217390845627668</v>
      </c>
      <c r="H72" s="60">
        <f t="shared" si="11"/>
        <v>41139.88662083033</v>
      </c>
    </row>
    <row r="73" spans="2:8" x14ac:dyDescent="0.3">
      <c r="B73" s="77" t="s">
        <v>45</v>
      </c>
      <c r="C73" s="44">
        <v>458878.51799999998</v>
      </c>
      <c r="D73" s="107">
        <f>+SUM(D74:D81)</f>
        <v>116.6</v>
      </c>
      <c r="E73" s="44">
        <f>SUMPRODUCT(D74:D81,E74:E81)/D73</f>
        <v>11302.643567753001</v>
      </c>
      <c r="F73" s="51">
        <f t="shared" si="0"/>
        <v>0.30188866697831679</v>
      </c>
      <c r="G73" s="46">
        <f t="shared" si="1"/>
        <v>0.66898834600672774</v>
      </c>
      <c r="H73" s="101">
        <f>+G73*C73</f>
        <v>306984.38077483844</v>
      </c>
    </row>
    <row r="74" spans="2:8" x14ac:dyDescent="0.3">
      <c r="B74" s="76" t="s">
        <v>101</v>
      </c>
      <c r="C74" s="111"/>
      <c r="D74" s="50">
        <v>18.52</v>
      </c>
      <c r="E74" s="49">
        <v>12124</v>
      </c>
      <c r="F74" s="55">
        <f t="shared" si="0"/>
        <v>0.28143681953150773</v>
      </c>
      <c r="G74" s="59">
        <f t="shared" si="1"/>
        <v>0.71760333397809006</v>
      </c>
      <c r="H74" s="60">
        <f t="shared" ref="H74:H81" si="12">+G74*C74</f>
        <v>0</v>
      </c>
    </row>
    <row r="75" spans="2:8" x14ac:dyDescent="0.3">
      <c r="B75" s="76" t="s">
        <v>102</v>
      </c>
      <c r="C75" s="269"/>
      <c r="D75" s="50">
        <v>18.809999999999999</v>
      </c>
      <c r="E75" s="49">
        <v>12124</v>
      </c>
      <c r="F75" s="55">
        <f t="shared" si="0"/>
        <v>0.28143681953150773</v>
      </c>
      <c r="G75" s="59">
        <f t="shared" si="1"/>
        <v>0.71760333397809006</v>
      </c>
      <c r="H75" s="60">
        <f t="shared" si="12"/>
        <v>0</v>
      </c>
    </row>
    <row r="76" spans="2:8" x14ac:dyDescent="0.3">
      <c r="B76" s="76" t="s">
        <v>103</v>
      </c>
      <c r="C76" s="269"/>
      <c r="D76" s="50">
        <v>18.32</v>
      </c>
      <c r="E76" s="49">
        <v>12124</v>
      </c>
      <c r="F76" s="55">
        <f t="shared" si="0"/>
        <v>0.28143681953150773</v>
      </c>
      <c r="G76" s="59">
        <f t="shared" si="1"/>
        <v>0.71760333397809006</v>
      </c>
      <c r="H76" s="60">
        <f t="shared" si="12"/>
        <v>0</v>
      </c>
    </row>
    <row r="77" spans="2:8" x14ac:dyDescent="0.3">
      <c r="B77" s="76" t="s">
        <v>104</v>
      </c>
      <c r="C77" s="269"/>
      <c r="D77" s="50">
        <v>18.63</v>
      </c>
      <c r="E77" s="49">
        <v>12124</v>
      </c>
      <c r="F77" s="56">
        <f t="shared" si="0"/>
        <v>0.28143681953150773</v>
      </c>
      <c r="G77" s="59">
        <f t="shared" si="1"/>
        <v>0.71760333397809006</v>
      </c>
      <c r="H77" s="60">
        <f t="shared" si="12"/>
        <v>0</v>
      </c>
    </row>
    <row r="78" spans="2:8" x14ac:dyDescent="0.3">
      <c r="B78" s="76" t="s">
        <v>319</v>
      </c>
      <c r="C78" s="269"/>
      <c r="D78" s="50">
        <v>10.58</v>
      </c>
      <c r="E78" s="49">
        <v>9861</v>
      </c>
      <c r="F78" s="56">
        <f t="shared" si="0"/>
        <v>0.34602372984484331</v>
      </c>
      <c r="G78" s="59">
        <f t="shared" si="1"/>
        <v>0.58365939263922351</v>
      </c>
      <c r="H78" s="60">
        <f t="shared" si="12"/>
        <v>0</v>
      </c>
    </row>
    <row r="79" spans="2:8" x14ac:dyDescent="0.3">
      <c r="B79" s="76" t="s">
        <v>320</v>
      </c>
      <c r="C79" s="269"/>
      <c r="D79" s="50">
        <v>10.58</v>
      </c>
      <c r="E79" s="49">
        <v>9861</v>
      </c>
      <c r="F79" s="56">
        <f t="shared" si="0"/>
        <v>0.34602372984484331</v>
      </c>
      <c r="G79" s="59">
        <f t="shared" si="1"/>
        <v>0.58365939263922351</v>
      </c>
      <c r="H79" s="60">
        <f t="shared" si="12"/>
        <v>0</v>
      </c>
    </row>
    <row r="80" spans="2:8" x14ac:dyDescent="0.3">
      <c r="B80" s="76" t="s">
        <v>321</v>
      </c>
      <c r="C80" s="269"/>
      <c r="D80" s="50">
        <v>10.58</v>
      </c>
      <c r="E80" s="49">
        <v>9861</v>
      </c>
      <c r="F80" s="56">
        <f t="shared" si="0"/>
        <v>0.34602372984484331</v>
      </c>
      <c r="G80" s="59">
        <f t="shared" si="1"/>
        <v>0.58365939263922351</v>
      </c>
      <c r="H80" s="60">
        <f t="shared" si="12"/>
        <v>0</v>
      </c>
    </row>
    <row r="81" spans="2:8" x14ac:dyDescent="0.3">
      <c r="B81" s="76" t="s">
        <v>322</v>
      </c>
      <c r="C81" s="53"/>
      <c r="D81" s="50">
        <v>10.58</v>
      </c>
      <c r="E81" s="49">
        <v>9861</v>
      </c>
      <c r="F81" s="56">
        <f t="shared" si="0"/>
        <v>0.34602372984484331</v>
      </c>
      <c r="G81" s="59">
        <f t="shared" si="1"/>
        <v>0.58365939263922351</v>
      </c>
      <c r="H81" s="60">
        <f t="shared" si="12"/>
        <v>0</v>
      </c>
    </row>
    <row r="82" spans="2:8" x14ac:dyDescent="0.3">
      <c r="B82" s="13"/>
      <c r="C82" s="4"/>
      <c r="D82" s="4"/>
      <c r="E82" s="4"/>
      <c r="F82" s="4"/>
      <c r="G82" s="4"/>
    </row>
    <row r="83" spans="2:8" ht="28.8" x14ac:dyDescent="0.3">
      <c r="B83" s="84" t="s">
        <v>164</v>
      </c>
      <c r="C83" s="79" t="s">
        <v>197</v>
      </c>
      <c r="D83" s="99"/>
      <c r="E83" s="99"/>
      <c r="F83" s="4"/>
      <c r="G83" s="99"/>
      <c r="H83" s="9"/>
    </row>
    <row r="84" spans="2:8" x14ac:dyDescent="0.3">
      <c r="B84" s="82" t="s">
        <v>0</v>
      </c>
      <c r="C84" s="83">
        <f>SUM(C85:C147)</f>
        <v>2232992.8565350003</v>
      </c>
      <c r="D84" s="31"/>
      <c r="E84" s="31"/>
      <c r="F84" s="9"/>
      <c r="G84" s="31"/>
      <c r="H84" s="9"/>
    </row>
    <row r="85" spans="2:8" x14ac:dyDescent="0.3">
      <c r="B85" s="57" t="s">
        <v>26</v>
      </c>
      <c r="C85" s="78"/>
      <c r="D85" s="30"/>
      <c r="E85" s="30"/>
      <c r="F85" s="4"/>
      <c r="G85" s="30"/>
      <c r="H85" s="9"/>
    </row>
    <row r="86" spans="2:8" x14ac:dyDescent="0.3">
      <c r="B86" s="47" t="s">
        <v>142</v>
      </c>
      <c r="C86" s="49">
        <v>8364.82</v>
      </c>
      <c r="D86" s="30"/>
      <c r="E86" s="30"/>
      <c r="F86" s="4"/>
      <c r="G86" s="30"/>
      <c r="H86" s="9"/>
    </row>
    <row r="87" spans="2:8" x14ac:dyDescent="0.3">
      <c r="B87" s="47" t="s">
        <v>143</v>
      </c>
      <c r="C87" s="49">
        <v>4087.8379999999997</v>
      </c>
      <c r="D87" s="30"/>
      <c r="E87" s="30"/>
      <c r="F87" s="4"/>
      <c r="G87" s="30"/>
      <c r="H87" s="9"/>
    </row>
    <row r="88" spans="2:8" x14ac:dyDescent="0.3">
      <c r="B88" s="47" t="s">
        <v>144</v>
      </c>
      <c r="C88" s="49">
        <v>6808.925000000002</v>
      </c>
      <c r="D88" s="30"/>
      <c r="E88" s="30"/>
      <c r="F88" s="4"/>
      <c r="G88" s="30"/>
      <c r="H88" s="9"/>
    </row>
    <row r="89" spans="2:8" x14ac:dyDescent="0.3">
      <c r="B89" s="57" t="s">
        <v>27</v>
      </c>
      <c r="C89" s="78"/>
      <c r="D89" s="30"/>
      <c r="E89" s="30"/>
      <c r="F89" s="4"/>
      <c r="G89" s="30"/>
      <c r="H89" s="9"/>
    </row>
    <row r="90" spans="2:8" x14ac:dyDescent="0.3">
      <c r="B90" s="47" t="s">
        <v>125</v>
      </c>
      <c r="C90" s="49">
        <v>6937.6459999999988</v>
      </c>
      <c r="D90" s="30"/>
      <c r="E90" s="30"/>
      <c r="F90" s="4"/>
      <c r="G90" s="30"/>
      <c r="H90" s="9"/>
    </row>
    <row r="91" spans="2:8" x14ac:dyDescent="0.3">
      <c r="B91" s="47" t="s">
        <v>126</v>
      </c>
      <c r="C91" s="49">
        <v>5548.0110000000004</v>
      </c>
      <c r="D91" s="30"/>
      <c r="E91" s="30"/>
      <c r="F91" s="4"/>
      <c r="G91" s="30"/>
      <c r="H91" s="9"/>
    </row>
    <row r="92" spans="2:8" x14ac:dyDescent="0.3">
      <c r="B92" s="47" t="s">
        <v>127</v>
      </c>
      <c r="C92" s="49">
        <v>20967.522999999997</v>
      </c>
      <c r="D92" s="30"/>
      <c r="E92" s="30"/>
      <c r="F92" s="4"/>
      <c r="G92" s="30"/>
      <c r="H92" s="9"/>
    </row>
    <row r="93" spans="2:8" x14ac:dyDescent="0.3">
      <c r="B93" s="57" t="s">
        <v>28</v>
      </c>
      <c r="C93" s="78"/>
      <c r="D93" s="30"/>
      <c r="E93" s="30"/>
      <c r="F93" s="4"/>
      <c r="G93" s="30"/>
      <c r="H93" s="9"/>
    </row>
    <row r="94" spans="2:8" x14ac:dyDescent="0.3">
      <c r="B94" s="47" t="s">
        <v>156</v>
      </c>
      <c r="C94" s="49">
        <v>85493.885999999984</v>
      </c>
      <c r="D94" s="30"/>
      <c r="E94" s="30"/>
      <c r="F94" s="4"/>
      <c r="G94" s="30"/>
      <c r="H94" s="9"/>
    </row>
    <row r="95" spans="2:8" x14ac:dyDescent="0.3">
      <c r="B95" s="47" t="s">
        <v>157</v>
      </c>
      <c r="C95" s="49">
        <v>77185.930999999997</v>
      </c>
      <c r="D95" s="30"/>
      <c r="E95" s="30"/>
      <c r="F95" s="4"/>
      <c r="G95" s="30"/>
      <c r="H95" s="9"/>
    </row>
    <row r="96" spans="2:8" x14ac:dyDescent="0.3">
      <c r="B96" s="57" t="s">
        <v>32</v>
      </c>
      <c r="C96" s="78"/>
      <c r="D96" s="30"/>
      <c r="E96" s="30"/>
      <c r="F96" s="4"/>
      <c r="G96" s="30"/>
      <c r="H96" s="9"/>
    </row>
    <row r="97" spans="2:8" x14ac:dyDescent="0.3">
      <c r="B97" s="47" t="s">
        <v>148</v>
      </c>
      <c r="C97" s="49">
        <v>43258.477999999996</v>
      </c>
      <c r="D97" s="30"/>
      <c r="E97" s="30"/>
      <c r="F97" s="4"/>
      <c r="G97" s="30"/>
      <c r="H97" s="9"/>
    </row>
    <row r="98" spans="2:8" x14ac:dyDescent="0.3">
      <c r="B98" s="57" t="s">
        <v>29</v>
      </c>
      <c r="C98" s="78"/>
      <c r="D98" s="30"/>
      <c r="E98" s="30"/>
      <c r="F98" s="4"/>
      <c r="G98" s="30"/>
      <c r="H98" s="9"/>
    </row>
    <row r="99" spans="2:8" x14ac:dyDescent="0.3">
      <c r="B99" s="47" t="s">
        <v>149</v>
      </c>
      <c r="C99" s="49">
        <v>4567.3325349999996</v>
      </c>
      <c r="D99" s="30"/>
      <c r="E99" s="30"/>
      <c r="F99" s="4"/>
      <c r="G99" s="30"/>
      <c r="H99" s="9"/>
    </row>
    <row r="100" spans="2:8" x14ac:dyDescent="0.3">
      <c r="B100" s="47" t="s">
        <v>173</v>
      </c>
      <c r="C100" s="49">
        <v>127364.10300000003</v>
      </c>
      <c r="D100" s="30"/>
      <c r="E100" s="30"/>
      <c r="F100" s="4"/>
      <c r="G100" s="30"/>
      <c r="H100" s="9"/>
    </row>
    <row r="101" spans="2:8" x14ac:dyDescent="0.3">
      <c r="B101" s="57" t="s">
        <v>30</v>
      </c>
      <c r="C101" s="78"/>
      <c r="D101" s="30"/>
      <c r="E101" s="30"/>
      <c r="F101" s="4"/>
      <c r="G101" s="30"/>
      <c r="H101" s="9"/>
    </row>
    <row r="102" spans="2:8" x14ac:dyDescent="0.3">
      <c r="B102" s="47" t="s">
        <v>145</v>
      </c>
      <c r="C102" s="49">
        <v>11577.643</v>
      </c>
      <c r="D102" s="30"/>
      <c r="E102" s="30"/>
      <c r="F102" s="4"/>
      <c r="G102" s="30"/>
      <c r="H102" s="9"/>
    </row>
    <row r="103" spans="2:8" x14ac:dyDescent="0.3">
      <c r="B103" s="47" t="s">
        <v>146</v>
      </c>
      <c r="C103" s="49">
        <v>14227.504000000001</v>
      </c>
      <c r="D103" s="30"/>
      <c r="E103" s="30"/>
      <c r="F103" s="4"/>
      <c r="G103" s="30"/>
      <c r="H103" s="9"/>
    </row>
    <row r="104" spans="2:8" x14ac:dyDescent="0.3">
      <c r="B104" s="47" t="s">
        <v>147</v>
      </c>
      <c r="C104" s="49">
        <v>11142.393000000002</v>
      </c>
      <c r="D104" s="30"/>
      <c r="E104" s="30"/>
      <c r="F104" s="4"/>
      <c r="G104" s="30"/>
      <c r="H104" s="9"/>
    </row>
    <row r="105" spans="2:8" x14ac:dyDescent="0.3">
      <c r="B105" s="57" t="s">
        <v>31</v>
      </c>
      <c r="C105" s="78"/>
      <c r="D105" s="30"/>
      <c r="E105" s="30"/>
      <c r="F105" s="4"/>
      <c r="G105" s="30"/>
      <c r="H105" s="9"/>
    </row>
    <row r="106" spans="2:8" x14ac:dyDescent="0.3">
      <c r="B106" s="47" t="s">
        <v>136</v>
      </c>
      <c r="C106" s="49">
        <v>64762.602000000014</v>
      </c>
      <c r="D106" s="30"/>
      <c r="E106" s="30"/>
      <c r="F106" s="4"/>
      <c r="G106" s="30"/>
      <c r="H106" s="9"/>
    </row>
    <row r="107" spans="2:8" x14ac:dyDescent="0.3">
      <c r="B107" s="47" t="s">
        <v>137</v>
      </c>
      <c r="C107" s="49">
        <v>62725.933999999994</v>
      </c>
      <c r="D107" s="30"/>
      <c r="E107" s="30"/>
      <c r="F107" s="4"/>
      <c r="G107" s="30"/>
      <c r="H107" s="9"/>
    </row>
    <row r="108" spans="2:8" x14ac:dyDescent="0.3">
      <c r="B108" s="57" t="s">
        <v>3</v>
      </c>
      <c r="C108" s="78"/>
      <c r="D108" s="30"/>
      <c r="E108" s="30"/>
      <c r="F108" s="4"/>
      <c r="G108" s="30"/>
      <c r="H108" s="9"/>
    </row>
    <row r="109" spans="2:8" x14ac:dyDescent="0.3">
      <c r="B109" s="47" t="s">
        <v>121</v>
      </c>
      <c r="C109" s="49">
        <v>371305.77999999997</v>
      </c>
      <c r="D109" s="30"/>
      <c r="E109" s="30"/>
      <c r="F109" s="4"/>
      <c r="G109" s="30"/>
      <c r="H109" s="9"/>
    </row>
    <row r="110" spans="2:8" x14ac:dyDescent="0.3">
      <c r="B110" s="57" t="s">
        <v>33</v>
      </c>
      <c r="C110" s="78"/>
      <c r="D110" s="30"/>
      <c r="E110" s="30"/>
      <c r="F110" s="4"/>
      <c r="G110" s="30"/>
      <c r="H110" s="9"/>
    </row>
    <row r="111" spans="2:8" x14ac:dyDescent="0.3">
      <c r="B111" s="47" t="s">
        <v>128</v>
      </c>
      <c r="C111" s="49">
        <v>5475.3140000000012</v>
      </c>
      <c r="D111" s="30"/>
      <c r="E111" s="30"/>
      <c r="F111" s="4"/>
      <c r="G111" s="30"/>
      <c r="H111" s="9"/>
    </row>
    <row r="112" spans="2:8" x14ac:dyDescent="0.3">
      <c r="B112" s="47" t="s">
        <v>129</v>
      </c>
      <c r="C112" s="49">
        <v>4912.893</v>
      </c>
      <c r="D112" s="30"/>
      <c r="E112" s="30"/>
      <c r="F112" s="4"/>
      <c r="G112" s="30"/>
      <c r="H112" s="9"/>
    </row>
    <row r="113" spans="2:8" x14ac:dyDescent="0.3">
      <c r="B113" s="47" t="s">
        <v>130</v>
      </c>
      <c r="C113" s="49">
        <v>5060.7860000000001</v>
      </c>
      <c r="D113" s="30"/>
      <c r="E113" s="30"/>
      <c r="F113" s="4"/>
      <c r="G113" s="30"/>
      <c r="H113" s="9"/>
    </row>
    <row r="114" spans="2:8" x14ac:dyDescent="0.3">
      <c r="B114" s="47" t="s">
        <v>131</v>
      </c>
      <c r="C114" s="49">
        <v>3245.1849999999999</v>
      </c>
      <c r="D114" s="30"/>
      <c r="E114" s="30"/>
      <c r="F114" s="4"/>
      <c r="G114" s="30"/>
      <c r="H114" s="9"/>
    </row>
    <row r="115" spans="2:8" x14ac:dyDescent="0.3">
      <c r="B115" s="47" t="s">
        <v>132</v>
      </c>
      <c r="C115" s="49">
        <v>71783.653000000006</v>
      </c>
      <c r="D115" s="30"/>
      <c r="E115" s="30"/>
      <c r="F115" s="4"/>
      <c r="G115" s="30"/>
      <c r="H115" s="9"/>
    </row>
    <row r="116" spans="2:8" x14ac:dyDescent="0.3">
      <c r="B116" s="57" t="s">
        <v>34</v>
      </c>
      <c r="C116" s="78"/>
      <c r="D116" s="30"/>
      <c r="E116" s="30"/>
      <c r="F116" s="4"/>
      <c r="G116" s="30"/>
      <c r="H116" s="9"/>
    </row>
    <row r="117" spans="2:8" x14ac:dyDescent="0.3">
      <c r="B117" s="47" t="s">
        <v>138</v>
      </c>
      <c r="C117" s="49">
        <v>78528.325000000012</v>
      </c>
      <c r="D117" s="30"/>
      <c r="E117" s="30"/>
      <c r="F117" s="4"/>
      <c r="G117" s="30"/>
      <c r="H117" s="9"/>
    </row>
    <row r="118" spans="2:8" x14ac:dyDescent="0.3">
      <c r="B118" s="47" t="s">
        <v>139</v>
      </c>
      <c r="C118" s="49">
        <v>77429.541999999987</v>
      </c>
      <c r="D118" s="30"/>
      <c r="E118" s="30"/>
      <c r="F118" s="4"/>
      <c r="G118" s="30"/>
      <c r="H118" s="9"/>
    </row>
    <row r="119" spans="2:8" x14ac:dyDescent="0.3">
      <c r="B119" s="57" t="s">
        <v>35</v>
      </c>
      <c r="C119" s="78"/>
      <c r="D119" s="30"/>
      <c r="E119" s="30"/>
      <c r="F119" s="4"/>
      <c r="G119" s="30"/>
      <c r="H119" s="9"/>
    </row>
    <row r="120" spans="2:8" x14ac:dyDescent="0.3">
      <c r="B120" s="47" t="s">
        <v>158</v>
      </c>
      <c r="C120" s="49">
        <v>99009.819000000003</v>
      </c>
      <c r="D120" s="30"/>
      <c r="E120" s="30"/>
      <c r="F120" s="4"/>
      <c r="G120" s="30"/>
      <c r="H120" s="9"/>
    </row>
    <row r="121" spans="2:8" x14ac:dyDescent="0.3">
      <c r="B121" s="47" t="s">
        <v>159</v>
      </c>
      <c r="C121" s="49">
        <v>99241.433000000005</v>
      </c>
      <c r="D121" s="30"/>
      <c r="E121" s="30"/>
      <c r="F121" s="4"/>
      <c r="G121" s="30"/>
      <c r="H121" s="9"/>
    </row>
    <row r="122" spans="2:8" x14ac:dyDescent="0.3">
      <c r="B122" s="57" t="s">
        <v>4</v>
      </c>
      <c r="C122" s="78"/>
      <c r="D122" s="30"/>
      <c r="E122" s="30"/>
      <c r="F122" s="4"/>
      <c r="G122" s="30"/>
      <c r="H122" s="9"/>
    </row>
    <row r="123" spans="2:8" x14ac:dyDescent="0.3">
      <c r="B123" s="47" t="s">
        <v>151</v>
      </c>
      <c r="C123" s="49">
        <v>19804.840000000004</v>
      </c>
      <c r="D123" s="30"/>
      <c r="E123" s="30"/>
      <c r="F123" s="4"/>
      <c r="G123" s="30"/>
      <c r="H123" s="9"/>
    </row>
    <row r="124" spans="2:8" x14ac:dyDescent="0.3">
      <c r="B124" s="57" t="s">
        <v>36</v>
      </c>
      <c r="C124" s="78"/>
      <c r="D124" s="30"/>
      <c r="E124" s="30"/>
      <c r="F124" s="4"/>
      <c r="G124" s="30"/>
      <c r="H124" s="9"/>
    </row>
    <row r="125" spans="2:8" x14ac:dyDescent="0.3">
      <c r="B125" s="47" t="s">
        <v>152</v>
      </c>
      <c r="C125" s="49">
        <v>45154.620999999999</v>
      </c>
      <c r="D125" s="30"/>
      <c r="E125" s="30"/>
      <c r="F125" s="4"/>
      <c r="G125" s="30"/>
      <c r="H125" s="9"/>
    </row>
    <row r="126" spans="2:8" x14ac:dyDescent="0.3">
      <c r="B126" s="57" t="s">
        <v>37</v>
      </c>
      <c r="C126" s="78"/>
      <c r="D126" s="30"/>
      <c r="E126" s="30"/>
      <c r="F126" s="4"/>
      <c r="G126" s="30"/>
      <c r="H126" s="9"/>
    </row>
    <row r="127" spans="2:8" x14ac:dyDescent="0.3">
      <c r="B127" s="47" t="s">
        <v>153</v>
      </c>
      <c r="C127" s="49">
        <v>22123.662000000004</v>
      </c>
      <c r="D127" s="30"/>
      <c r="E127" s="30"/>
      <c r="F127" s="4"/>
      <c r="G127" s="30"/>
      <c r="H127" s="9"/>
    </row>
    <row r="128" spans="2:8" x14ac:dyDescent="0.3">
      <c r="B128" s="57" t="s">
        <v>38</v>
      </c>
      <c r="C128" s="78"/>
      <c r="D128" s="30"/>
      <c r="E128" s="30"/>
      <c r="F128" s="4"/>
      <c r="G128" s="30"/>
      <c r="H128" s="9"/>
    </row>
    <row r="129" spans="2:8" x14ac:dyDescent="0.3">
      <c r="B129" s="47" t="s">
        <v>140</v>
      </c>
      <c r="C129" s="49">
        <v>4384.4089999999997</v>
      </c>
      <c r="D129" s="30"/>
      <c r="E129" s="30"/>
      <c r="F129" s="4"/>
      <c r="G129" s="30"/>
      <c r="H129" s="9"/>
    </row>
    <row r="130" spans="2:8" x14ac:dyDescent="0.3">
      <c r="B130" s="47" t="s">
        <v>141</v>
      </c>
      <c r="C130" s="49">
        <v>4197.7930000000006</v>
      </c>
      <c r="D130" s="30"/>
      <c r="E130" s="30"/>
      <c r="F130" s="4"/>
      <c r="G130" s="30"/>
      <c r="H130" s="9"/>
    </row>
    <row r="131" spans="2:8" x14ac:dyDescent="0.3">
      <c r="B131" s="57" t="s">
        <v>39</v>
      </c>
      <c r="C131" s="78"/>
      <c r="D131" s="30"/>
      <c r="E131" s="30"/>
      <c r="F131" s="4"/>
      <c r="G131" s="30"/>
      <c r="H131" s="9"/>
    </row>
    <row r="132" spans="2:8" x14ac:dyDescent="0.3">
      <c r="B132" s="47" t="s">
        <v>154</v>
      </c>
      <c r="C132" s="49">
        <v>17786.664000000001</v>
      </c>
      <c r="D132" s="30"/>
      <c r="E132" s="30"/>
      <c r="F132" s="4"/>
      <c r="G132" s="30"/>
      <c r="H132" s="9"/>
    </row>
    <row r="133" spans="2:8" x14ac:dyDescent="0.3">
      <c r="B133" s="57" t="s">
        <v>5</v>
      </c>
      <c r="C133" s="78"/>
      <c r="D133" s="30"/>
      <c r="E133" s="30"/>
      <c r="F133" s="4"/>
      <c r="G133" s="30"/>
      <c r="H133" s="9"/>
    </row>
    <row r="134" spans="2:8" x14ac:dyDescent="0.3">
      <c r="B134" s="47" t="s">
        <v>155</v>
      </c>
      <c r="C134" s="49">
        <v>7175.8399999999992</v>
      </c>
      <c r="D134" s="30"/>
      <c r="E134" s="30"/>
      <c r="F134" s="4"/>
      <c r="G134" s="30"/>
      <c r="H134" s="9"/>
    </row>
    <row r="135" spans="2:8" x14ac:dyDescent="0.3">
      <c r="B135" s="57" t="s">
        <v>40</v>
      </c>
      <c r="C135" s="78"/>
      <c r="D135" s="30"/>
      <c r="E135" s="30"/>
      <c r="F135" s="4"/>
      <c r="G135" s="30"/>
      <c r="H135" s="9"/>
    </row>
    <row r="136" spans="2:8" x14ac:dyDescent="0.3">
      <c r="B136" s="47" t="s">
        <v>135</v>
      </c>
      <c r="C136" s="49">
        <v>15429.729000000001</v>
      </c>
      <c r="D136" s="30"/>
      <c r="E136" s="30"/>
      <c r="F136" s="4"/>
      <c r="G136" s="30"/>
      <c r="H136" s="9"/>
    </row>
    <row r="137" spans="2:8" x14ac:dyDescent="0.3">
      <c r="B137" s="57" t="s">
        <v>2</v>
      </c>
      <c r="C137" s="78"/>
      <c r="D137" s="30"/>
      <c r="E137" s="30"/>
      <c r="F137" s="4"/>
      <c r="G137" s="30"/>
      <c r="H137" s="9"/>
    </row>
    <row r="138" spans="2:8" x14ac:dyDescent="0.3">
      <c r="B138" s="47" t="s">
        <v>122</v>
      </c>
      <c r="C138" s="49">
        <v>552076.43999999994</v>
      </c>
      <c r="D138" s="30"/>
      <c r="E138" s="30"/>
      <c r="F138" s="4"/>
      <c r="G138" s="30"/>
      <c r="H138" s="9"/>
    </row>
    <row r="139" spans="2:8" x14ac:dyDescent="0.3">
      <c r="B139" s="57" t="s">
        <v>42</v>
      </c>
      <c r="C139" s="78"/>
      <c r="D139" s="30"/>
      <c r="E139" s="30"/>
      <c r="F139" s="4"/>
      <c r="G139" s="30"/>
      <c r="H139" s="9"/>
    </row>
    <row r="140" spans="2:8" x14ac:dyDescent="0.3">
      <c r="B140" s="47" t="s">
        <v>133</v>
      </c>
      <c r="C140" s="49">
        <v>35041.322</v>
      </c>
      <c r="D140" s="30"/>
      <c r="E140" s="30"/>
      <c r="F140" s="4"/>
      <c r="G140" s="30"/>
      <c r="H140" s="9"/>
    </row>
    <row r="141" spans="2:8" x14ac:dyDescent="0.3">
      <c r="B141" s="47" t="s">
        <v>134</v>
      </c>
      <c r="C141" s="49">
        <v>48557.090000000004</v>
      </c>
      <c r="D141" s="30"/>
      <c r="E141" s="30"/>
      <c r="F141" s="4"/>
      <c r="G141" s="30"/>
      <c r="H141" s="9"/>
    </row>
    <row r="142" spans="2:8" x14ac:dyDescent="0.3">
      <c r="B142" s="57" t="s">
        <v>43</v>
      </c>
      <c r="C142" s="78"/>
      <c r="D142" s="30"/>
      <c r="E142" s="30"/>
      <c r="F142" s="4"/>
      <c r="G142" s="30"/>
      <c r="H142" s="9"/>
    </row>
    <row r="143" spans="2:8" x14ac:dyDescent="0.3">
      <c r="B143" s="47" t="s">
        <v>124</v>
      </c>
      <c r="C143" s="49">
        <v>10445.099</v>
      </c>
      <c r="D143" s="30"/>
      <c r="E143" s="30"/>
      <c r="F143" s="4"/>
      <c r="G143" s="30"/>
      <c r="H143" s="9"/>
    </row>
    <row r="144" spans="2:8" x14ac:dyDescent="0.3">
      <c r="B144" s="57" t="s">
        <v>46</v>
      </c>
      <c r="C144" s="78"/>
      <c r="D144" s="30"/>
      <c r="E144" s="30"/>
      <c r="F144" s="4"/>
      <c r="G144" s="30"/>
      <c r="H144" s="9"/>
    </row>
    <row r="145" spans="2:8" x14ac:dyDescent="0.3">
      <c r="B145" s="47" t="s">
        <v>150</v>
      </c>
      <c r="C145" s="49">
        <v>70571.212</v>
      </c>
      <c r="D145" s="30"/>
      <c r="E145" s="30"/>
      <c r="F145" s="4"/>
      <c r="G145" s="30"/>
      <c r="H145" s="9"/>
    </row>
    <row r="146" spans="2:8" x14ac:dyDescent="0.3">
      <c r="B146" s="57" t="s">
        <v>1</v>
      </c>
      <c r="C146" s="78"/>
      <c r="D146" s="30"/>
      <c r="E146" s="30"/>
      <c r="F146" s="4"/>
      <c r="G146" s="30"/>
      <c r="H146" s="9"/>
    </row>
    <row r="147" spans="2:8" x14ac:dyDescent="0.3">
      <c r="B147" s="47" t="s">
        <v>123</v>
      </c>
      <c r="C147" s="49">
        <v>9230.8360000000011</v>
      </c>
      <c r="D147" s="30"/>
      <c r="E147" s="30"/>
      <c r="F147" s="4"/>
      <c r="G147" s="30"/>
      <c r="H147" s="9"/>
    </row>
    <row r="148" spans="2:8" x14ac:dyDescent="0.3">
      <c r="F148" s="9"/>
    </row>
    <row r="149" spans="2:8" ht="28.8" x14ac:dyDescent="0.3">
      <c r="B149" s="84" t="s">
        <v>164</v>
      </c>
      <c r="C149" s="79" t="s">
        <v>165</v>
      </c>
      <c r="D149" s="99"/>
      <c r="E149" s="99"/>
      <c r="F149" s="4"/>
    </row>
    <row r="150" spans="2:8" x14ac:dyDescent="0.3">
      <c r="B150" s="7" t="s">
        <v>12</v>
      </c>
      <c r="C150" s="85">
        <f>+SUM(C151:C154)</f>
        <v>76309.624999999985</v>
      </c>
      <c r="D150" s="31"/>
      <c r="E150" s="31"/>
      <c r="F150" s="14"/>
    </row>
    <row r="151" spans="2:8" x14ac:dyDescent="0.3">
      <c r="B151" s="57" t="s">
        <v>13</v>
      </c>
      <c r="C151" s="78"/>
      <c r="D151" s="30"/>
      <c r="E151" s="30"/>
      <c r="F151" s="4"/>
    </row>
    <row r="152" spans="2:8" x14ac:dyDescent="0.3">
      <c r="B152" s="47" t="s">
        <v>191</v>
      </c>
      <c r="C152" s="49">
        <v>65694</v>
      </c>
    </row>
    <row r="153" spans="2:8" x14ac:dyDescent="0.3">
      <c r="B153" s="57" t="s">
        <v>17</v>
      </c>
      <c r="C153" s="78"/>
    </row>
    <row r="154" spans="2:8" x14ac:dyDescent="0.3">
      <c r="B154" s="47" t="s">
        <v>325</v>
      </c>
      <c r="C154" s="49">
        <v>10615.624999999991</v>
      </c>
    </row>
    <row r="156" spans="2:8" ht="28.8" x14ac:dyDescent="0.3">
      <c r="B156" s="84" t="s">
        <v>164</v>
      </c>
      <c r="C156" s="79" t="s">
        <v>165</v>
      </c>
    </row>
    <row r="157" spans="2:8" x14ac:dyDescent="0.3">
      <c r="B157" s="7" t="s">
        <v>8</v>
      </c>
      <c r="C157" s="85">
        <f>+SUM(C158:C159)</f>
        <v>8157.7569999999996</v>
      </c>
    </row>
    <row r="158" spans="2:8" x14ac:dyDescent="0.3">
      <c r="B158" s="57" t="s">
        <v>9</v>
      </c>
      <c r="C158" s="78"/>
    </row>
    <row r="159" spans="2:8" x14ac:dyDescent="0.3">
      <c r="B159" s="47" t="s">
        <v>323</v>
      </c>
      <c r="C159" s="49">
        <v>8157.7569999999996</v>
      </c>
    </row>
  </sheetData>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J151"/>
  <sheetViews>
    <sheetView zoomScaleNormal="100" workbookViewId="0"/>
  </sheetViews>
  <sheetFormatPr baseColWidth="10" defaultColWidth="9.109375" defaultRowHeight="14.4" x14ac:dyDescent="0.3"/>
  <cols>
    <col min="1" max="1" width="9.109375" style="1"/>
    <col min="2" max="2" width="39" style="1" customWidth="1"/>
    <col min="3" max="3" width="12.109375" style="1" customWidth="1"/>
    <col min="4" max="5" width="11.109375" style="1" customWidth="1"/>
    <col min="6" max="6" width="14.44140625" style="1" customWidth="1"/>
    <col min="7" max="7" width="15.33203125" style="1" customWidth="1"/>
    <col min="8" max="8" width="16.88671875" style="1" customWidth="1"/>
    <col min="9" max="16384" width="9.109375" style="1"/>
  </cols>
  <sheetData>
    <row r="3" spans="2:10" ht="23.4" x14ac:dyDescent="0.45">
      <c r="B3" s="286" t="s">
        <v>356</v>
      </c>
      <c r="D3" s="286">
        <v>2013</v>
      </c>
    </row>
    <row r="4" spans="2:10" x14ac:dyDescent="0.3">
      <c r="G4" s="9"/>
      <c r="H4" s="9"/>
      <c r="I4" s="9"/>
      <c r="J4" s="9"/>
    </row>
    <row r="5" spans="2:10" x14ac:dyDescent="0.3">
      <c r="G5" s="9"/>
      <c r="H5" s="9"/>
      <c r="I5" s="9"/>
      <c r="J5" s="9"/>
    </row>
    <row r="6" spans="2:10" x14ac:dyDescent="0.3">
      <c r="B6" s="86" t="s">
        <v>160</v>
      </c>
      <c r="C6" s="87">
        <f>+C7+C9</f>
        <v>7286833.0360245043</v>
      </c>
      <c r="D6" s="32"/>
      <c r="E6" s="32"/>
      <c r="F6" s="32"/>
      <c r="G6" s="32"/>
      <c r="H6" s="9"/>
      <c r="I6" s="9"/>
      <c r="J6" s="9"/>
    </row>
    <row r="7" spans="2:10" x14ac:dyDescent="0.3">
      <c r="B7" s="88" t="s">
        <v>161</v>
      </c>
      <c r="C7" s="90">
        <f>+C78+C144+C149</f>
        <v>2594391.147199627</v>
      </c>
      <c r="D7" s="98"/>
      <c r="E7" s="98"/>
      <c r="F7" s="98"/>
      <c r="G7" s="32"/>
      <c r="H7" s="9"/>
      <c r="I7" s="9"/>
      <c r="J7" s="9"/>
    </row>
    <row r="8" spans="2:10" x14ac:dyDescent="0.3">
      <c r="B8" s="88" t="s">
        <v>76</v>
      </c>
      <c r="C8" s="91">
        <f>+C7/C6</f>
        <v>0.35603823147498043</v>
      </c>
      <c r="D8" s="94"/>
      <c r="E8" s="94"/>
      <c r="F8" s="94"/>
      <c r="G8" s="32"/>
      <c r="H8" s="9"/>
      <c r="I8" s="9"/>
      <c r="J8" s="9"/>
    </row>
    <row r="9" spans="2:10" x14ac:dyDescent="0.3">
      <c r="B9" s="88" t="s">
        <v>162</v>
      </c>
      <c r="C9" s="90">
        <f>+C22</f>
        <v>4692441.8888248773</v>
      </c>
      <c r="D9" s="98"/>
      <c r="E9" s="98"/>
      <c r="F9" s="98"/>
      <c r="G9" s="32"/>
      <c r="H9" s="9"/>
      <c r="I9" s="9"/>
      <c r="J9" s="9"/>
    </row>
    <row r="10" spans="2:10" x14ac:dyDescent="0.3">
      <c r="B10" s="89" t="s">
        <v>77</v>
      </c>
      <c r="C10" s="92">
        <f>+C9/C6</f>
        <v>0.64396176852501952</v>
      </c>
      <c r="D10" s="94"/>
      <c r="E10" s="94"/>
      <c r="F10" s="94"/>
      <c r="G10" s="33"/>
      <c r="H10" s="9"/>
      <c r="I10" s="9"/>
      <c r="J10" s="9"/>
    </row>
    <row r="11" spans="2:10" x14ac:dyDescent="0.3">
      <c r="B11" s="93"/>
      <c r="C11" s="94"/>
      <c r="D11" s="94"/>
      <c r="E11" s="94"/>
      <c r="F11" s="94"/>
      <c r="G11" s="33"/>
      <c r="H11" s="9"/>
      <c r="I11" s="9"/>
      <c r="J11" s="9"/>
    </row>
    <row r="12" spans="2:10" x14ac:dyDescent="0.3">
      <c r="B12" s="86" t="s">
        <v>273</v>
      </c>
      <c r="C12" s="174"/>
      <c r="D12" s="94"/>
      <c r="E12" s="94"/>
      <c r="F12" s="94"/>
      <c r="G12" s="33"/>
      <c r="H12" s="9"/>
      <c r="I12" s="9"/>
      <c r="J12" s="9"/>
    </row>
    <row r="13" spans="2:10" x14ac:dyDescent="0.3">
      <c r="B13" s="178" t="s">
        <v>115</v>
      </c>
      <c r="C13" s="175">
        <v>3412.14</v>
      </c>
      <c r="D13" s="94"/>
      <c r="E13" s="94"/>
      <c r="F13" s="94"/>
      <c r="G13" s="33"/>
      <c r="H13" s="9"/>
      <c r="I13" s="9"/>
      <c r="J13" s="9"/>
    </row>
    <row r="14" spans="2:10" ht="15.6" x14ac:dyDescent="0.3">
      <c r="B14" s="178" t="s">
        <v>272</v>
      </c>
      <c r="C14" s="176">
        <v>5.6099999999999997E-2</v>
      </c>
      <c r="D14" s="94"/>
      <c r="E14" s="94"/>
      <c r="F14" s="94"/>
      <c r="G14" s="33"/>
      <c r="H14" s="9"/>
      <c r="I14" s="9"/>
      <c r="J14" s="9"/>
    </row>
    <row r="15" spans="2:10" ht="14.25" customHeight="1" x14ac:dyDescent="0.3">
      <c r="B15" s="179" t="s">
        <v>116</v>
      </c>
      <c r="C15" s="177">
        <v>3.6</v>
      </c>
      <c r="D15" s="94"/>
      <c r="E15" s="94"/>
      <c r="F15" s="94"/>
      <c r="G15" s="33"/>
      <c r="H15" s="9"/>
      <c r="I15" s="9"/>
      <c r="J15" s="9"/>
    </row>
    <row r="16" spans="2:10" ht="15" thickBot="1" x14ac:dyDescent="0.35">
      <c r="B16" s="93"/>
      <c r="C16" s="94"/>
      <c r="D16" s="94"/>
      <c r="E16" s="94"/>
      <c r="F16" s="94"/>
      <c r="G16" s="33"/>
      <c r="H16" s="9"/>
      <c r="I16" s="9"/>
      <c r="J16" s="9"/>
    </row>
    <row r="17" spans="2:10" ht="16.2" thickBot="1" x14ac:dyDescent="0.4">
      <c r="B17" s="96" t="s">
        <v>171</v>
      </c>
      <c r="C17" s="97">
        <f>+H22/C6</f>
        <v>0.38133374857362462</v>
      </c>
      <c r="D17" s="95"/>
      <c r="E17" s="95"/>
      <c r="F17" s="95"/>
      <c r="G17" s="33"/>
      <c r="H17" s="9"/>
      <c r="I17" s="9"/>
      <c r="J17" s="9"/>
    </row>
    <row r="18" spans="2:10" ht="15" thickBot="1" x14ac:dyDescent="0.35">
      <c r="B18" s="93"/>
      <c r="C18" s="95"/>
      <c r="D18" s="95"/>
      <c r="E18" s="95"/>
      <c r="F18" s="95"/>
      <c r="G18" s="33"/>
      <c r="H18" s="9"/>
      <c r="I18" s="9"/>
      <c r="J18" s="9"/>
    </row>
    <row r="19" spans="2:10" ht="16.2" thickBot="1" x14ac:dyDescent="0.4">
      <c r="B19" s="96" t="s">
        <v>171</v>
      </c>
      <c r="C19" s="97">
        <f>+H22/C9</f>
        <v>0.59216830441201707</v>
      </c>
      <c r="D19" s="95"/>
      <c r="E19" s="95"/>
      <c r="F19" s="95"/>
      <c r="G19" s="33"/>
      <c r="H19" s="9"/>
      <c r="I19" s="9"/>
      <c r="J19" s="9"/>
    </row>
    <row r="20" spans="2:10" x14ac:dyDescent="0.3">
      <c r="B20" s="93"/>
      <c r="C20" s="95"/>
      <c r="D20" s="95"/>
      <c r="E20" s="95"/>
      <c r="F20" s="95"/>
      <c r="G20" s="33"/>
      <c r="H20" s="9"/>
      <c r="I20" s="9"/>
      <c r="J20" s="9"/>
    </row>
    <row r="21" spans="2:10" ht="33" customHeight="1" x14ac:dyDescent="0.35">
      <c r="B21" s="81" t="s">
        <v>163</v>
      </c>
      <c r="C21" s="79" t="s">
        <v>197</v>
      </c>
      <c r="D21" s="79" t="s">
        <v>168</v>
      </c>
      <c r="E21" s="79" t="s">
        <v>169</v>
      </c>
      <c r="F21" s="79" t="s">
        <v>170</v>
      </c>
      <c r="G21" s="79" t="s">
        <v>209</v>
      </c>
      <c r="H21" s="80" t="s">
        <v>208</v>
      </c>
    </row>
    <row r="22" spans="2:10" x14ac:dyDescent="0.3">
      <c r="B22" s="16" t="s">
        <v>15</v>
      </c>
      <c r="C22" s="58">
        <f>SUM(C23:C75)</f>
        <v>4692441.8888248773</v>
      </c>
      <c r="D22" s="58"/>
      <c r="E22" s="58"/>
      <c r="F22" s="58"/>
      <c r="G22" s="17"/>
      <c r="H22" s="74">
        <f>SUM(H23:H75)</f>
        <v>2778715.3568573501</v>
      </c>
    </row>
    <row r="23" spans="2:10" x14ac:dyDescent="0.3">
      <c r="B23" s="75" t="s">
        <v>317</v>
      </c>
      <c r="C23" s="61"/>
      <c r="D23" s="106">
        <f>+SUM(D24)</f>
        <v>17.5</v>
      </c>
      <c r="E23" s="54">
        <f>+E24</f>
        <v>9682</v>
      </c>
      <c r="F23" s="51">
        <f t="shared" ref="F23:F75" si="0">1/(E23/$C$13)</f>
        <v>0.35242098739929767</v>
      </c>
      <c r="G23" s="46">
        <f t="shared" ref="G23:G75" si="1">+$C$14*$C$15/F23</f>
        <v>0.57306462220190257</v>
      </c>
      <c r="H23" s="65">
        <f>+G23*C23</f>
        <v>0</v>
      </c>
    </row>
    <row r="24" spans="2:10" x14ac:dyDescent="0.3">
      <c r="B24" s="76" t="s">
        <v>318</v>
      </c>
      <c r="C24" s="49">
        <v>107684.09799999998</v>
      </c>
      <c r="D24" s="50">
        <v>17.5</v>
      </c>
      <c r="E24" s="49">
        <v>9682</v>
      </c>
      <c r="F24" s="55">
        <f>1/(E24/$C$13)</f>
        <v>0.35242098739929767</v>
      </c>
      <c r="G24" s="59">
        <f>+$C$14*$C$15/F24</f>
        <v>0.57306462220190257</v>
      </c>
      <c r="H24" s="60">
        <f>+G24*C24</f>
        <v>61709.94693752264</v>
      </c>
    </row>
    <row r="25" spans="2:10" x14ac:dyDescent="0.3">
      <c r="B25" s="76" t="s">
        <v>324</v>
      </c>
      <c r="C25" s="49">
        <v>103575.98907</v>
      </c>
      <c r="D25" s="50">
        <v>32.4</v>
      </c>
      <c r="E25" s="49">
        <v>8140</v>
      </c>
      <c r="F25" s="55">
        <f>1/(E25/$C$13)</f>
        <v>0.41918181818181821</v>
      </c>
      <c r="G25" s="59">
        <f>+$C$14*$C$15/F25</f>
        <v>0.48179570592062454</v>
      </c>
      <c r="H25" s="60">
        <f>+G25*C25</f>
        <v>49902.46677040754</v>
      </c>
    </row>
    <row r="26" spans="2:10" x14ac:dyDescent="0.3">
      <c r="B26" s="75" t="s">
        <v>19</v>
      </c>
      <c r="C26" s="61"/>
      <c r="D26" s="106">
        <f>+SUM(D27:D37)</f>
        <v>41</v>
      </c>
      <c r="E26" s="54">
        <f>SUMPRODUCT(D27:D37,E27:E37)/D26</f>
        <v>10376.951219512195</v>
      </c>
      <c r="F26" s="51">
        <f t="shared" si="0"/>
        <v>0.32881912305649247</v>
      </c>
      <c r="G26" s="46">
        <f t="shared" si="1"/>
        <v>0.6141978548045165</v>
      </c>
      <c r="H26" s="65">
        <f>+G26*C26</f>
        <v>0</v>
      </c>
    </row>
    <row r="27" spans="2:10" x14ac:dyDescent="0.3">
      <c r="B27" s="76" t="s">
        <v>87</v>
      </c>
      <c r="C27" s="49">
        <v>1574.99368394</v>
      </c>
      <c r="D27" s="50">
        <v>3</v>
      </c>
      <c r="E27" s="49">
        <v>10201</v>
      </c>
      <c r="F27" s="55">
        <f>1/(E27/$C$13)</f>
        <v>0.33449073620233311</v>
      </c>
      <c r="G27" s="59">
        <f>+$C$14*$C$15/F27</f>
        <v>0.60378353760396697</v>
      </c>
      <c r="H27" s="60">
        <f>+G27*C27</f>
        <v>950.95525819319744</v>
      </c>
    </row>
    <row r="28" spans="2:10" x14ac:dyDescent="0.3">
      <c r="B28" s="76" t="s">
        <v>88</v>
      </c>
      <c r="C28" s="49">
        <v>0</v>
      </c>
      <c r="D28" s="50">
        <v>3</v>
      </c>
      <c r="E28" s="49">
        <v>10201</v>
      </c>
      <c r="F28" s="55">
        <f t="shared" si="0"/>
        <v>0.33449073620233311</v>
      </c>
      <c r="G28" s="59">
        <f t="shared" si="1"/>
        <v>0.60378353760396697</v>
      </c>
      <c r="H28" s="60">
        <f t="shared" ref="H28:H37" si="2">+G28*C28</f>
        <v>0</v>
      </c>
    </row>
    <row r="29" spans="2:10" x14ac:dyDescent="0.3">
      <c r="B29" s="76" t="s">
        <v>89</v>
      </c>
      <c r="C29" s="49">
        <v>1769.8755000000001</v>
      </c>
      <c r="D29" s="50">
        <v>3</v>
      </c>
      <c r="E29" s="49">
        <v>10201</v>
      </c>
      <c r="F29" s="55">
        <f t="shared" si="0"/>
        <v>0.33449073620233311</v>
      </c>
      <c r="G29" s="59">
        <f t="shared" si="1"/>
        <v>0.60378353760396697</v>
      </c>
      <c r="H29" s="60">
        <f t="shared" si="2"/>
        <v>1068.6216905085898</v>
      </c>
    </row>
    <row r="30" spans="2:10" x14ac:dyDescent="0.3">
      <c r="B30" s="76" t="s">
        <v>92</v>
      </c>
      <c r="C30" s="49">
        <v>106260.78000000001</v>
      </c>
      <c r="D30" s="50">
        <v>18</v>
      </c>
      <c r="E30" s="49">
        <v>11497</v>
      </c>
      <c r="F30" s="55">
        <f t="shared" si="0"/>
        <v>0.29678524832565017</v>
      </c>
      <c r="G30" s="59">
        <f t="shared" si="1"/>
        <v>0.68049204311663647</v>
      </c>
      <c r="H30" s="60">
        <f t="shared" si="2"/>
        <v>72309.615285367428</v>
      </c>
    </row>
    <row r="31" spans="2:10" x14ac:dyDescent="0.3">
      <c r="B31" s="76" t="s">
        <v>93</v>
      </c>
      <c r="C31" s="49">
        <v>338.88614000000001</v>
      </c>
      <c r="D31" s="50">
        <v>2</v>
      </c>
      <c r="E31" s="49">
        <v>9050</v>
      </c>
      <c r="F31" s="55">
        <f t="shared" si="0"/>
        <v>0.37703204419889497</v>
      </c>
      <c r="G31" s="59">
        <f t="shared" si="1"/>
        <v>0.53565738803214413</v>
      </c>
      <c r="H31" s="60">
        <f t="shared" si="2"/>
        <v>181.52686459269552</v>
      </c>
    </row>
    <row r="32" spans="2:10" x14ac:dyDescent="0.3">
      <c r="B32" s="76" t="s">
        <v>94</v>
      </c>
      <c r="C32" s="49">
        <v>4904.8445299999994</v>
      </c>
      <c r="D32" s="50">
        <v>2</v>
      </c>
      <c r="E32" s="49">
        <v>9050</v>
      </c>
      <c r="F32" s="55">
        <f t="shared" si="0"/>
        <v>0.37703204419889497</v>
      </c>
      <c r="G32" s="59">
        <f t="shared" si="1"/>
        <v>0.53565738803214413</v>
      </c>
      <c r="H32" s="60">
        <f t="shared" si="2"/>
        <v>2627.3162096435494</v>
      </c>
    </row>
    <row r="33" spans="2:8" x14ac:dyDescent="0.3">
      <c r="B33" s="76" t="s">
        <v>95</v>
      </c>
      <c r="C33" s="49">
        <v>9655.3631199999982</v>
      </c>
      <c r="D33" s="50">
        <v>2</v>
      </c>
      <c r="E33" s="49">
        <v>9050</v>
      </c>
      <c r="F33" s="55">
        <f t="shared" si="0"/>
        <v>0.37703204419889497</v>
      </c>
      <c r="G33" s="59">
        <f t="shared" si="1"/>
        <v>0.53565738803214413</v>
      </c>
      <c r="H33" s="60">
        <f t="shared" si="2"/>
        <v>5171.9665893610927</v>
      </c>
    </row>
    <row r="34" spans="2:8" x14ac:dyDescent="0.3">
      <c r="B34" s="76" t="s">
        <v>96</v>
      </c>
      <c r="C34" s="49">
        <v>11349.074575000001</v>
      </c>
      <c r="D34" s="50">
        <v>2</v>
      </c>
      <c r="E34" s="49">
        <v>9050</v>
      </c>
      <c r="F34" s="55">
        <f t="shared" si="0"/>
        <v>0.37703204419889497</v>
      </c>
      <c r="G34" s="59">
        <f t="shared" si="1"/>
        <v>0.53565738803214413</v>
      </c>
      <c r="H34" s="60">
        <f t="shared" si="2"/>
        <v>6079.2156434265162</v>
      </c>
    </row>
    <row r="35" spans="2:8" x14ac:dyDescent="0.3">
      <c r="B35" s="76" t="s">
        <v>97</v>
      </c>
      <c r="C35" s="49">
        <v>9758.3664000000153</v>
      </c>
      <c r="D35" s="50">
        <v>2</v>
      </c>
      <c r="E35" s="49">
        <v>9050</v>
      </c>
      <c r="F35" s="55">
        <f t="shared" si="0"/>
        <v>0.37703204419889497</v>
      </c>
      <c r="G35" s="59">
        <f t="shared" si="1"/>
        <v>0.53565738803214413</v>
      </c>
      <c r="H35" s="60">
        <f t="shared" si="2"/>
        <v>5227.1410572846453</v>
      </c>
    </row>
    <row r="36" spans="2:8" x14ac:dyDescent="0.3">
      <c r="B36" s="76" t="s">
        <v>98</v>
      </c>
      <c r="C36" s="53">
        <v>2570.0208000000066</v>
      </c>
      <c r="D36" s="50">
        <v>2</v>
      </c>
      <c r="E36" s="49">
        <v>9050</v>
      </c>
      <c r="F36" s="55">
        <f t="shared" si="0"/>
        <v>0.37703204419889497</v>
      </c>
      <c r="G36" s="59">
        <f t="shared" si="1"/>
        <v>0.53565738803214413</v>
      </c>
      <c r="H36" s="60">
        <f t="shared" si="2"/>
        <v>1376.6506289162851</v>
      </c>
    </row>
    <row r="37" spans="2:8" x14ac:dyDescent="0.3">
      <c r="B37" s="76" t="s">
        <v>99</v>
      </c>
      <c r="C37" s="49">
        <v>10493.689199999977</v>
      </c>
      <c r="D37" s="50">
        <v>2</v>
      </c>
      <c r="E37" s="49">
        <v>9050</v>
      </c>
      <c r="F37" s="56">
        <f t="shared" si="0"/>
        <v>0.37703204419889497</v>
      </c>
      <c r="G37" s="59">
        <f t="shared" si="1"/>
        <v>0.53565738803214413</v>
      </c>
      <c r="H37" s="60">
        <f t="shared" si="2"/>
        <v>5621.0221476931074</v>
      </c>
    </row>
    <row r="38" spans="2:8" x14ac:dyDescent="0.3">
      <c r="B38" s="77" t="s">
        <v>20</v>
      </c>
      <c r="C38" s="61"/>
      <c r="D38" s="107">
        <f>+SUM(D39:D40)</f>
        <v>90</v>
      </c>
      <c r="E38" s="44">
        <f>SUMPRODUCT(D39:D40,E39:E40)/D38</f>
        <v>8851</v>
      </c>
      <c r="F38" s="51">
        <f t="shared" si="0"/>
        <v>0.38550898203592809</v>
      </c>
      <c r="G38" s="46">
        <f t="shared" si="1"/>
        <v>0.52387884436160304</v>
      </c>
      <c r="H38" s="65">
        <f>+G38*C38</f>
        <v>0</v>
      </c>
    </row>
    <row r="39" spans="2:8" x14ac:dyDescent="0.3">
      <c r="B39" s="76" t="s">
        <v>113</v>
      </c>
      <c r="C39" s="49">
        <v>287973.53399999999</v>
      </c>
      <c r="D39" s="50">
        <v>45</v>
      </c>
      <c r="E39" s="49">
        <v>8685</v>
      </c>
      <c r="F39" s="55">
        <f t="shared" si="0"/>
        <v>0.3928773747841105</v>
      </c>
      <c r="G39" s="59">
        <f t="shared" si="1"/>
        <v>0.51405352652587533</v>
      </c>
      <c r="H39" s="60">
        <f t="shared" ref="H39:H40" si="3">+G39*C39</f>
        <v>148033.81069881906</v>
      </c>
    </row>
    <row r="40" spans="2:8" x14ac:dyDescent="0.3">
      <c r="B40" s="76" t="s">
        <v>114</v>
      </c>
      <c r="C40" s="49">
        <v>202260.81000000006</v>
      </c>
      <c r="D40" s="50">
        <v>45</v>
      </c>
      <c r="E40" s="49">
        <v>9017</v>
      </c>
      <c r="F40" s="56">
        <f t="shared" si="0"/>
        <v>0.37841188865476322</v>
      </c>
      <c r="G40" s="59">
        <f t="shared" si="1"/>
        <v>0.53370416219733074</v>
      </c>
      <c r="H40" s="60">
        <f t="shared" si="3"/>
        <v>107947.43614640353</v>
      </c>
    </row>
    <row r="41" spans="2:8" x14ac:dyDescent="0.3">
      <c r="B41" s="77" t="s">
        <v>18</v>
      </c>
      <c r="C41" s="44">
        <v>667630.60999999987</v>
      </c>
      <c r="D41" s="107">
        <f>+SUM(D42:D43)</f>
        <v>112</v>
      </c>
      <c r="E41" s="44">
        <f>SUMPRODUCT(D42:D44,E42:E44)/D41</f>
        <v>11949.967857142856</v>
      </c>
      <c r="F41" s="51">
        <f>1/(E41/$C$13)</f>
        <v>0.2855354960608083</v>
      </c>
      <c r="G41" s="46">
        <f t="shared" si="1"/>
        <v>0.70730260435637793</v>
      </c>
      <c r="H41" s="101">
        <f>+G41*C41</f>
        <v>472216.86920103716</v>
      </c>
    </row>
    <row r="42" spans="2:8" x14ac:dyDescent="0.3">
      <c r="B42" s="76" t="s">
        <v>105</v>
      </c>
      <c r="C42" s="111"/>
      <c r="D42" s="50">
        <v>56</v>
      </c>
      <c r="E42" s="49">
        <v>9830</v>
      </c>
      <c r="F42" s="55">
        <f t="shared" si="0"/>
        <v>0.34711495422177008</v>
      </c>
      <c r="G42" s="59">
        <f t="shared" si="1"/>
        <v>0.58182454412773221</v>
      </c>
      <c r="H42" s="265"/>
    </row>
    <row r="43" spans="2:8" x14ac:dyDescent="0.3">
      <c r="B43" s="76" t="s">
        <v>106</v>
      </c>
      <c r="C43" s="269"/>
      <c r="D43" s="50">
        <v>56</v>
      </c>
      <c r="E43" s="49">
        <v>9830</v>
      </c>
      <c r="F43" s="55">
        <f t="shared" si="0"/>
        <v>0.34711495422177008</v>
      </c>
      <c r="G43" s="59">
        <f t="shared" si="1"/>
        <v>0.58182454412773221</v>
      </c>
      <c r="H43" s="71"/>
    </row>
    <row r="44" spans="2:8" x14ac:dyDescent="0.3">
      <c r="B44" s="76" t="s">
        <v>315</v>
      </c>
      <c r="C44" s="53"/>
      <c r="D44" s="50">
        <v>24.4</v>
      </c>
      <c r="E44" s="49">
        <v>9731</v>
      </c>
      <c r="F44" s="55">
        <f t="shared" si="0"/>
        <v>0.35064638783269964</v>
      </c>
      <c r="G44" s="59">
        <f t="shared" si="1"/>
        <v>0.57596486662329205</v>
      </c>
      <c r="H44" s="60">
        <f t="shared" ref="H44" si="4">+G44*C44</f>
        <v>0</v>
      </c>
    </row>
    <row r="45" spans="2:8" x14ac:dyDescent="0.3">
      <c r="B45" s="77" t="s">
        <v>23</v>
      </c>
      <c r="C45" s="44"/>
      <c r="D45" s="107">
        <f>+SUM(D46:D47)</f>
        <v>46</v>
      </c>
      <c r="E45" s="44">
        <f>SUMPRODUCT(D46:D47,E46:E47)/D45</f>
        <v>10048</v>
      </c>
      <c r="F45" s="51">
        <f t="shared" si="0"/>
        <v>0.33958399681528662</v>
      </c>
      <c r="G45" s="46">
        <f t="shared" si="1"/>
        <v>0.59472767236983248</v>
      </c>
      <c r="H45" s="101">
        <f>+G45*C45</f>
        <v>0</v>
      </c>
    </row>
    <row r="46" spans="2:8" x14ac:dyDescent="0.3">
      <c r="B46" s="76" t="s">
        <v>107</v>
      </c>
      <c r="C46" s="53">
        <v>176801</v>
      </c>
      <c r="D46" s="50">
        <v>23</v>
      </c>
      <c r="E46" s="49">
        <v>10018</v>
      </c>
      <c r="F46" s="55">
        <f t="shared" si="0"/>
        <v>0.34060091834697548</v>
      </c>
      <c r="G46" s="59">
        <f t="shared" si="1"/>
        <v>0.59295201252000207</v>
      </c>
      <c r="H46" s="60">
        <f t="shared" ref="H46:H49" si="5">+G46*C46</f>
        <v>104834.50876554889</v>
      </c>
    </row>
    <row r="47" spans="2:8" x14ac:dyDescent="0.3">
      <c r="B47" s="76" t="s">
        <v>108</v>
      </c>
      <c r="C47" s="53">
        <v>175773</v>
      </c>
      <c r="D47" s="50">
        <v>23</v>
      </c>
      <c r="E47" s="49">
        <v>10078</v>
      </c>
      <c r="F47" s="55">
        <f t="shared" si="0"/>
        <v>0.33857312958920421</v>
      </c>
      <c r="G47" s="59">
        <f t="shared" si="1"/>
        <v>0.59650333221966267</v>
      </c>
      <c r="H47" s="60">
        <f t="shared" si="5"/>
        <v>104849.18021424676</v>
      </c>
    </row>
    <row r="48" spans="2:8" x14ac:dyDescent="0.3">
      <c r="B48" s="76" t="s">
        <v>109</v>
      </c>
      <c r="C48" s="53">
        <v>195325</v>
      </c>
      <c r="D48" s="50">
        <v>25</v>
      </c>
      <c r="E48" s="49">
        <v>9980</v>
      </c>
      <c r="F48" s="55">
        <f t="shared" si="0"/>
        <v>0.34189779559118233</v>
      </c>
      <c r="G48" s="59">
        <f t="shared" si="1"/>
        <v>0.59070284337688372</v>
      </c>
      <c r="H48" s="60">
        <f t="shared" si="5"/>
        <v>115379.03288258982</v>
      </c>
    </row>
    <row r="49" spans="2:8" x14ac:dyDescent="0.3">
      <c r="B49" s="76" t="s">
        <v>110</v>
      </c>
      <c r="C49" s="53">
        <v>186743</v>
      </c>
      <c r="D49" s="50">
        <v>25</v>
      </c>
      <c r="E49" s="49">
        <v>9897</v>
      </c>
      <c r="F49" s="55">
        <f t="shared" si="0"/>
        <v>0.34476508032737191</v>
      </c>
      <c r="G49" s="59">
        <f t="shared" si="1"/>
        <v>0.58579018445901987</v>
      </c>
      <c r="H49" s="60">
        <f t="shared" si="5"/>
        <v>109392.21641643075</v>
      </c>
    </row>
    <row r="50" spans="2:8" x14ac:dyDescent="0.3">
      <c r="B50" s="77" t="s">
        <v>16</v>
      </c>
      <c r="C50" s="61"/>
      <c r="D50" s="107">
        <f>+SUM(D51:D58)</f>
        <v>368</v>
      </c>
      <c r="E50" s="44">
        <f>SUMPRODUCT(D51:D58,E51:E58)/D50</f>
        <v>9872.152173913044</v>
      </c>
      <c r="F50" s="51">
        <f t="shared" si="0"/>
        <v>0.34563284073117395</v>
      </c>
      <c r="G50" s="46">
        <f t="shared" si="1"/>
        <v>0.58431947488774738</v>
      </c>
      <c r="H50" s="65">
        <f>+G50*C50</f>
        <v>0</v>
      </c>
    </row>
    <row r="51" spans="2:8" x14ac:dyDescent="0.3">
      <c r="B51" s="76" t="s">
        <v>78</v>
      </c>
      <c r="C51" s="49">
        <v>6585.9599999999991</v>
      </c>
      <c r="D51" s="50">
        <v>22</v>
      </c>
      <c r="E51" s="49">
        <v>11971</v>
      </c>
      <c r="F51" s="55">
        <f t="shared" si="0"/>
        <v>0.2850338317600869</v>
      </c>
      <c r="G51" s="59">
        <f t="shared" si="1"/>
        <v>0.70854746874395536</v>
      </c>
      <c r="H51" s="60">
        <f t="shared" ref="H51:H58" si="6">+G51*C51</f>
        <v>4666.4652872489396</v>
      </c>
    </row>
    <row r="52" spans="2:8" x14ac:dyDescent="0.3">
      <c r="B52" s="76" t="s">
        <v>79</v>
      </c>
      <c r="C52" s="49">
        <v>4921.4399999999996</v>
      </c>
      <c r="D52" s="50">
        <v>20</v>
      </c>
      <c r="E52" s="49">
        <v>12595</v>
      </c>
      <c r="F52" s="55">
        <f t="shared" si="0"/>
        <v>0.27091226677252878</v>
      </c>
      <c r="G52" s="59">
        <f t="shared" si="1"/>
        <v>0.74548119362042586</v>
      </c>
      <c r="H52" s="60">
        <f t="shared" si="6"/>
        <v>3668.8409655313085</v>
      </c>
    </row>
    <row r="53" spans="2:8" x14ac:dyDescent="0.3">
      <c r="B53" s="76" t="s">
        <v>80</v>
      </c>
      <c r="C53" s="49">
        <v>17730.18</v>
      </c>
      <c r="D53" s="50">
        <v>20</v>
      </c>
      <c r="E53" s="49">
        <v>12834</v>
      </c>
      <c r="F53" s="55">
        <f t="shared" si="0"/>
        <v>0.26586722767648435</v>
      </c>
      <c r="G53" s="59">
        <f t="shared" si="1"/>
        <v>0.75962728375740729</v>
      </c>
      <c r="H53" s="60">
        <f t="shared" si="6"/>
        <v>13468.328473929907</v>
      </c>
    </row>
    <row r="54" spans="2:8" x14ac:dyDescent="0.3">
      <c r="B54" s="76" t="s">
        <v>81</v>
      </c>
      <c r="C54" s="49">
        <v>32721.119999999995</v>
      </c>
      <c r="D54" s="50">
        <v>21</v>
      </c>
      <c r="E54" s="49">
        <v>12644</v>
      </c>
      <c r="F54" s="56">
        <f t="shared" si="0"/>
        <v>0.26986238532110091</v>
      </c>
      <c r="G54" s="59">
        <f t="shared" si="1"/>
        <v>0.74838143804181545</v>
      </c>
      <c r="H54" s="60">
        <f t="shared" si="6"/>
        <v>24487.878839938803</v>
      </c>
    </row>
    <row r="55" spans="2:8" x14ac:dyDescent="0.3">
      <c r="B55" s="76" t="s">
        <v>82</v>
      </c>
      <c r="C55" s="49">
        <v>479429.598</v>
      </c>
      <c r="D55" s="50">
        <v>63</v>
      </c>
      <c r="E55" s="49">
        <v>10070</v>
      </c>
      <c r="F55" s="100">
        <f t="shared" si="0"/>
        <v>0.33884210526315789</v>
      </c>
      <c r="G55" s="102">
        <f t="shared" si="1"/>
        <v>0.59602982292637463</v>
      </c>
      <c r="H55" s="103">
        <f t="shared" si="6"/>
        <v>285754.33840160299</v>
      </c>
    </row>
    <row r="56" spans="2:8" x14ac:dyDescent="0.3">
      <c r="B56" s="76" t="s">
        <v>83</v>
      </c>
      <c r="C56" s="49">
        <v>461289.34800000006</v>
      </c>
      <c r="D56" s="50">
        <v>63</v>
      </c>
      <c r="E56" s="49">
        <v>10070</v>
      </c>
      <c r="F56" s="55">
        <f t="shared" si="0"/>
        <v>0.33884210526315789</v>
      </c>
      <c r="G56" s="59">
        <f t="shared" si="1"/>
        <v>0.59602982292637463</v>
      </c>
      <c r="H56" s="60">
        <f t="shared" si="6"/>
        <v>274942.20840626286</v>
      </c>
    </row>
    <row r="57" spans="2:8" x14ac:dyDescent="0.3">
      <c r="B57" s="76" t="s">
        <v>84</v>
      </c>
      <c r="C57" s="49">
        <v>201328.714125</v>
      </c>
      <c r="D57" s="50">
        <v>63</v>
      </c>
      <c r="E57" s="49">
        <v>10070</v>
      </c>
      <c r="F57" s="55">
        <f t="shared" si="0"/>
        <v>0.33884210526315789</v>
      </c>
      <c r="G57" s="59">
        <f t="shared" si="1"/>
        <v>0.59602982292637463</v>
      </c>
      <c r="H57" s="60">
        <f t="shared" si="6"/>
        <v>119997.91782991844</v>
      </c>
    </row>
    <row r="58" spans="2:8" x14ac:dyDescent="0.3">
      <c r="B58" s="76" t="s">
        <v>314</v>
      </c>
      <c r="C58" s="49">
        <v>616226.28899999999</v>
      </c>
      <c r="D58" s="50">
        <v>96</v>
      </c>
      <c r="E58" s="49">
        <v>7211</v>
      </c>
      <c r="F58" s="55">
        <f t="shared" si="0"/>
        <v>0.47318541117736784</v>
      </c>
      <c r="G58" s="59">
        <f t="shared" si="1"/>
        <v>0.426809439237546</v>
      </c>
      <c r="H58" s="60">
        <f t="shared" si="6"/>
        <v>263011.19685152394</v>
      </c>
    </row>
    <row r="59" spans="2:8" x14ac:dyDescent="0.3">
      <c r="B59" s="77" t="s">
        <v>21</v>
      </c>
      <c r="C59" s="61"/>
      <c r="D59" s="107">
        <f>+D60</f>
        <v>14</v>
      </c>
      <c r="E59" s="44">
        <f>+E60</f>
        <v>11860</v>
      </c>
      <c r="F59" s="51">
        <f t="shared" si="0"/>
        <v>0.2877015177065767</v>
      </c>
      <c r="G59" s="46">
        <f t="shared" si="1"/>
        <v>0.70197752729958329</v>
      </c>
      <c r="H59" s="65">
        <f>+G59*C59</f>
        <v>0</v>
      </c>
    </row>
    <row r="60" spans="2:8" x14ac:dyDescent="0.3">
      <c r="B60" s="76" t="s">
        <v>100</v>
      </c>
      <c r="C60" s="49">
        <v>84986.583595136995</v>
      </c>
      <c r="D60" s="50">
        <v>14</v>
      </c>
      <c r="E60" s="49">
        <v>11860</v>
      </c>
      <c r="F60" s="55">
        <f t="shared" si="0"/>
        <v>0.2877015177065767</v>
      </c>
      <c r="G60" s="59">
        <f t="shared" si="1"/>
        <v>0.70197752729958329</v>
      </c>
      <c r="H60" s="60">
        <f t="shared" ref="H60" si="7">+G60*C60</f>
        <v>59658.671805753598</v>
      </c>
    </row>
    <row r="61" spans="2:8" x14ac:dyDescent="0.3">
      <c r="B61" s="77" t="s">
        <v>22</v>
      </c>
      <c r="C61" s="61"/>
      <c r="D61" s="107">
        <f>+SUM(D62:D63)</f>
        <v>18</v>
      </c>
      <c r="E61" s="44">
        <f>SUMPRODUCT(D62:D63,E62:E63)/D61</f>
        <v>12028</v>
      </c>
      <c r="F61" s="51">
        <f t="shared" si="0"/>
        <v>0.28368307283006317</v>
      </c>
      <c r="G61" s="46">
        <f t="shared" si="1"/>
        <v>0.7119212224586331</v>
      </c>
      <c r="H61" s="65">
        <f>+G61*C61</f>
        <v>0</v>
      </c>
    </row>
    <row r="62" spans="2:8" x14ac:dyDescent="0.3">
      <c r="B62" s="76" t="s">
        <v>111</v>
      </c>
      <c r="C62" s="49">
        <v>25340.758313000002</v>
      </c>
      <c r="D62" s="50">
        <v>9</v>
      </c>
      <c r="E62" s="49">
        <v>12074</v>
      </c>
      <c r="F62" s="55">
        <f t="shared" si="0"/>
        <v>0.28260228590359449</v>
      </c>
      <c r="G62" s="59">
        <f t="shared" si="1"/>
        <v>0.71464390089503949</v>
      </c>
      <c r="H62" s="60">
        <f t="shared" ref="H62:H63" si="8">+G62*C62</f>
        <v>18109.61837244072</v>
      </c>
    </row>
    <row r="63" spans="2:8" x14ac:dyDescent="0.3">
      <c r="B63" s="76" t="s">
        <v>112</v>
      </c>
      <c r="C63" s="49">
        <v>20555.564869999998</v>
      </c>
      <c r="D63" s="50">
        <v>9</v>
      </c>
      <c r="E63" s="49">
        <v>11982</v>
      </c>
      <c r="F63" s="55">
        <f t="shared" si="0"/>
        <v>0.28477215823735602</v>
      </c>
      <c r="G63" s="59">
        <f t="shared" si="1"/>
        <v>0.7091985440222266</v>
      </c>
      <c r="H63" s="60">
        <f t="shared" si="8"/>
        <v>14577.976677358429</v>
      </c>
    </row>
    <row r="64" spans="2:8" x14ac:dyDescent="0.3">
      <c r="B64" s="77" t="s">
        <v>17</v>
      </c>
      <c r="C64" s="61"/>
      <c r="D64" s="107">
        <f>+SUM(D65:D66)</f>
        <v>44</v>
      </c>
      <c r="E64" s="44">
        <f>SUMPRODUCT(D65:D66,E65:E66)/D64</f>
        <v>11761</v>
      </c>
      <c r="F64" s="51">
        <f t="shared" si="0"/>
        <v>0.29012328883598332</v>
      </c>
      <c r="G64" s="46">
        <f t="shared" si="1"/>
        <v>0.69611784979514324</v>
      </c>
      <c r="H64" s="65">
        <f>+G64*C64</f>
        <v>0</v>
      </c>
    </row>
    <row r="65" spans="2:8" x14ac:dyDescent="0.3">
      <c r="B65" s="76" t="s">
        <v>85</v>
      </c>
      <c r="C65" s="49">
        <v>23800.942902800001</v>
      </c>
      <c r="D65" s="50">
        <v>22</v>
      </c>
      <c r="E65" s="49">
        <v>11850</v>
      </c>
      <c r="F65" s="55">
        <f t="shared" si="0"/>
        <v>0.28794430379746838</v>
      </c>
      <c r="G65" s="59">
        <f t="shared" si="1"/>
        <v>0.70138564068297304</v>
      </c>
      <c r="H65" s="60">
        <f t="shared" ref="H65:H66" si="9">+G65*C65</f>
        <v>16693.639586739238</v>
      </c>
    </row>
    <row r="66" spans="2:8" x14ac:dyDescent="0.3">
      <c r="B66" s="76" t="s">
        <v>86</v>
      </c>
      <c r="C66" s="49">
        <v>16188.9</v>
      </c>
      <c r="D66" s="50">
        <v>22</v>
      </c>
      <c r="E66" s="49">
        <v>11672</v>
      </c>
      <c r="F66" s="55">
        <f t="shared" si="0"/>
        <v>0.29233550376970524</v>
      </c>
      <c r="G66" s="59">
        <f t="shared" si="1"/>
        <v>0.69085005890731344</v>
      </c>
      <c r="H66" s="60">
        <f t="shared" si="9"/>
        <v>11184.102518644606</v>
      </c>
    </row>
    <row r="67" spans="2:8" x14ac:dyDescent="0.3">
      <c r="B67" s="77" t="s">
        <v>45</v>
      </c>
      <c r="C67" s="44">
        <v>438893.55500000005</v>
      </c>
      <c r="D67" s="107">
        <f>+SUM(D68:D75)</f>
        <v>116.6</v>
      </c>
      <c r="E67" s="44">
        <f>SUMPRODUCT(D68:D75,E68:E75)/D67</f>
        <v>11302.643567753001</v>
      </c>
      <c r="F67" s="51">
        <f t="shared" si="0"/>
        <v>0.30188866697831679</v>
      </c>
      <c r="G67" s="46">
        <f t="shared" si="1"/>
        <v>0.66898834600672774</v>
      </c>
      <c r="H67" s="101">
        <f>+G67*C67</f>
        <v>293614.67343246285</v>
      </c>
    </row>
    <row r="68" spans="2:8" x14ac:dyDescent="0.3">
      <c r="B68" s="76" t="s">
        <v>101</v>
      </c>
      <c r="C68" s="111"/>
      <c r="D68" s="50">
        <v>18.52</v>
      </c>
      <c r="E68" s="49">
        <v>12124</v>
      </c>
      <c r="F68" s="55">
        <f t="shared" si="0"/>
        <v>0.28143681953150773</v>
      </c>
      <c r="G68" s="59">
        <f t="shared" si="1"/>
        <v>0.71760333397809006</v>
      </c>
      <c r="H68" s="60">
        <f t="shared" ref="H68:H75" si="10">+G68*C68</f>
        <v>0</v>
      </c>
    </row>
    <row r="69" spans="2:8" x14ac:dyDescent="0.3">
      <c r="B69" s="76" t="s">
        <v>102</v>
      </c>
      <c r="C69" s="269"/>
      <c r="D69" s="50">
        <v>18.809999999999999</v>
      </c>
      <c r="E69" s="49">
        <v>12124</v>
      </c>
      <c r="F69" s="55">
        <f t="shared" si="0"/>
        <v>0.28143681953150773</v>
      </c>
      <c r="G69" s="59">
        <f t="shared" si="1"/>
        <v>0.71760333397809006</v>
      </c>
      <c r="H69" s="60">
        <f t="shared" si="10"/>
        <v>0</v>
      </c>
    </row>
    <row r="70" spans="2:8" x14ac:dyDescent="0.3">
      <c r="B70" s="76" t="s">
        <v>103</v>
      </c>
      <c r="C70" s="269"/>
      <c r="D70" s="50">
        <v>18.32</v>
      </c>
      <c r="E70" s="49">
        <v>12124</v>
      </c>
      <c r="F70" s="55">
        <f t="shared" si="0"/>
        <v>0.28143681953150773</v>
      </c>
      <c r="G70" s="59">
        <f t="shared" si="1"/>
        <v>0.71760333397809006</v>
      </c>
      <c r="H70" s="60">
        <f t="shared" si="10"/>
        <v>0</v>
      </c>
    </row>
    <row r="71" spans="2:8" x14ac:dyDescent="0.3">
      <c r="B71" s="76" t="s">
        <v>104</v>
      </c>
      <c r="C71" s="269"/>
      <c r="D71" s="50">
        <v>18.63</v>
      </c>
      <c r="E71" s="49">
        <v>12124</v>
      </c>
      <c r="F71" s="56">
        <f t="shared" si="0"/>
        <v>0.28143681953150773</v>
      </c>
      <c r="G71" s="59">
        <f t="shared" si="1"/>
        <v>0.71760333397809006</v>
      </c>
      <c r="H71" s="60">
        <f t="shared" si="10"/>
        <v>0</v>
      </c>
    </row>
    <row r="72" spans="2:8" x14ac:dyDescent="0.3">
      <c r="B72" s="76" t="s">
        <v>319</v>
      </c>
      <c r="C72" s="269"/>
      <c r="D72" s="50">
        <v>10.58</v>
      </c>
      <c r="E72" s="49">
        <v>9861</v>
      </c>
      <c r="F72" s="56">
        <f t="shared" si="0"/>
        <v>0.34602372984484331</v>
      </c>
      <c r="G72" s="59">
        <f t="shared" si="1"/>
        <v>0.58365939263922351</v>
      </c>
      <c r="H72" s="60">
        <f t="shared" si="10"/>
        <v>0</v>
      </c>
    </row>
    <row r="73" spans="2:8" x14ac:dyDescent="0.3">
      <c r="B73" s="76" t="s">
        <v>320</v>
      </c>
      <c r="C73" s="269"/>
      <c r="D73" s="50">
        <v>10.58</v>
      </c>
      <c r="E73" s="49">
        <v>9861</v>
      </c>
      <c r="F73" s="56">
        <f t="shared" si="0"/>
        <v>0.34602372984484331</v>
      </c>
      <c r="G73" s="59">
        <f t="shared" si="1"/>
        <v>0.58365939263922351</v>
      </c>
      <c r="H73" s="60">
        <f t="shared" si="10"/>
        <v>0</v>
      </c>
    </row>
    <row r="74" spans="2:8" x14ac:dyDescent="0.3">
      <c r="B74" s="76" t="s">
        <v>321</v>
      </c>
      <c r="C74" s="269"/>
      <c r="D74" s="50">
        <v>10.58</v>
      </c>
      <c r="E74" s="49">
        <v>9861</v>
      </c>
      <c r="F74" s="56">
        <f t="shared" si="0"/>
        <v>0.34602372984484331</v>
      </c>
      <c r="G74" s="59">
        <f t="shared" si="1"/>
        <v>0.58365939263922351</v>
      </c>
      <c r="H74" s="60">
        <f t="shared" si="10"/>
        <v>0</v>
      </c>
    </row>
    <row r="75" spans="2:8" x14ac:dyDescent="0.3">
      <c r="B75" s="76" t="s">
        <v>322</v>
      </c>
      <c r="C75" s="53"/>
      <c r="D75" s="50">
        <v>10.58</v>
      </c>
      <c r="E75" s="49">
        <v>9861</v>
      </c>
      <c r="F75" s="56">
        <f t="shared" si="0"/>
        <v>0.34602372984484331</v>
      </c>
      <c r="G75" s="59">
        <f t="shared" si="1"/>
        <v>0.58365939263922351</v>
      </c>
      <c r="H75" s="60">
        <f t="shared" si="10"/>
        <v>0</v>
      </c>
    </row>
    <row r="76" spans="2:8" x14ac:dyDescent="0.3">
      <c r="B76" s="13"/>
      <c r="C76" s="4"/>
      <c r="D76" s="4"/>
      <c r="E76" s="4"/>
      <c r="F76" s="4"/>
      <c r="G76" s="4"/>
    </row>
    <row r="77" spans="2:8" ht="28.8" x14ac:dyDescent="0.3">
      <c r="B77" s="84" t="s">
        <v>164</v>
      </c>
      <c r="C77" s="79" t="s">
        <v>197</v>
      </c>
      <c r="D77" s="99"/>
      <c r="E77" s="99"/>
      <c r="F77" s="4"/>
      <c r="G77" s="99"/>
      <c r="H77" s="9"/>
    </row>
    <row r="78" spans="2:8" x14ac:dyDescent="0.3">
      <c r="B78" s="82" t="s">
        <v>0</v>
      </c>
      <c r="C78" s="83">
        <f>SUM(C79:C141)</f>
        <v>2514863.618699627</v>
      </c>
      <c r="D78" s="31"/>
      <c r="E78" s="31"/>
      <c r="F78" s="9"/>
      <c r="G78" s="31"/>
      <c r="H78" s="9"/>
    </row>
    <row r="79" spans="2:8" x14ac:dyDescent="0.3">
      <c r="B79" s="57" t="s">
        <v>26</v>
      </c>
      <c r="C79" s="78"/>
      <c r="D79" s="30"/>
      <c r="E79" s="30"/>
      <c r="F79" s="4"/>
      <c r="G79" s="30"/>
      <c r="H79" s="9"/>
    </row>
    <row r="80" spans="2:8" x14ac:dyDescent="0.3">
      <c r="B80" s="47" t="s">
        <v>142</v>
      </c>
      <c r="C80" s="49">
        <v>8655.150999999998</v>
      </c>
      <c r="D80" s="30"/>
      <c r="E80" s="30"/>
      <c r="F80" s="4"/>
      <c r="G80" s="30"/>
      <c r="H80" s="9"/>
    </row>
    <row r="81" spans="2:8" x14ac:dyDescent="0.3">
      <c r="B81" s="47" t="s">
        <v>143</v>
      </c>
      <c r="C81" s="49">
        <v>3998.6959999999999</v>
      </c>
      <c r="D81" s="30"/>
      <c r="E81" s="30"/>
      <c r="F81" s="4"/>
      <c r="G81" s="30"/>
      <c r="H81" s="9"/>
    </row>
    <row r="82" spans="2:8" x14ac:dyDescent="0.3">
      <c r="B82" s="47" t="s">
        <v>144</v>
      </c>
      <c r="C82" s="49">
        <v>6891.6029999999992</v>
      </c>
      <c r="D82" s="30"/>
      <c r="E82" s="30"/>
      <c r="F82" s="4"/>
      <c r="G82" s="30"/>
      <c r="H82" s="9"/>
    </row>
    <row r="83" spans="2:8" x14ac:dyDescent="0.3">
      <c r="B83" s="57" t="s">
        <v>27</v>
      </c>
      <c r="C83" s="78"/>
      <c r="D83" s="30"/>
      <c r="E83" s="30"/>
      <c r="F83" s="4"/>
      <c r="G83" s="30"/>
      <c r="H83" s="9"/>
    </row>
    <row r="84" spans="2:8" x14ac:dyDescent="0.3">
      <c r="B84" s="47" t="s">
        <v>125</v>
      </c>
      <c r="C84" s="49">
        <v>8548.19</v>
      </c>
      <c r="D84" s="30"/>
      <c r="E84" s="30"/>
      <c r="F84" s="4"/>
      <c r="G84" s="30"/>
      <c r="H84" s="9"/>
    </row>
    <row r="85" spans="2:8" x14ac:dyDescent="0.3">
      <c r="B85" s="47" t="s">
        <v>126</v>
      </c>
      <c r="C85" s="49">
        <v>7028.0189999999984</v>
      </c>
      <c r="D85" s="30"/>
      <c r="E85" s="30"/>
      <c r="F85" s="4"/>
      <c r="G85" s="30"/>
      <c r="H85" s="9"/>
    </row>
    <row r="86" spans="2:8" x14ac:dyDescent="0.3">
      <c r="B86" s="47" t="s">
        <v>127</v>
      </c>
      <c r="C86" s="49">
        <v>22174.722999999998</v>
      </c>
      <c r="D86" s="30"/>
      <c r="E86" s="30"/>
      <c r="F86" s="4"/>
      <c r="G86" s="30"/>
      <c r="H86" s="9"/>
    </row>
    <row r="87" spans="2:8" x14ac:dyDescent="0.3">
      <c r="B87" s="57" t="s">
        <v>28</v>
      </c>
      <c r="C87" s="78"/>
      <c r="D87" s="30"/>
      <c r="E87" s="30"/>
      <c r="F87" s="4"/>
      <c r="G87" s="30"/>
      <c r="H87" s="9"/>
    </row>
    <row r="88" spans="2:8" x14ac:dyDescent="0.3">
      <c r="B88" s="47" t="s">
        <v>156</v>
      </c>
      <c r="C88" s="49">
        <v>86457.891000000003</v>
      </c>
      <c r="D88" s="30"/>
      <c r="E88" s="30"/>
      <c r="F88" s="4"/>
      <c r="G88" s="30"/>
      <c r="H88" s="9"/>
    </row>
    <row r="89" spans="2:8" x14ac:dyDescent="0.3">
      <c r="B89" s="47" t="s">
        <v>157</v>
      </c>
      <c r="C89" s="49">
        <v>84764.018000000011</v>
      </c>
      <c r="D89" s="30"/>
      <c r="E89" s="30"/>
      <c r="F89" s="4"/>
      <c r="G89" s="30"/>
      <c r="H89" s="9"/>
    </row>
    <row r="90" spans="2:8" x14ac:dyDescent="0.3">
      <c r="B90" s="57" t="s">
        <v>32</v>
      </c>
      <c r="C90" s="78"/>
      <c r="D90" s="30"/>
      <c r="E90" s="30"/>
      <c r="F90" s="4"/>
      <c r="G90" s="30"/>
      <c r="H90" s="9"/>
    </row>
    <row r="91" spans="2:8" x14ac:dyDescent="0.3">
      <c r="B91" s="47" t="s">
        <v>148</v>
      </c>
      <c r="C91" s="49">
        <v>45495.326000000001</v>
      </c>
      <c r="D91" s="30"/>
      <c r="E91" s="30"/>
      <c r="F91" s="4"/>
      <c r="G91" s="30"/>
      <c r="H91" s="9"/>
    </row>
    <row r="92" spans="2:8" x14ac:dyDescent="0.3">
      <c r="B92" s="57" t="s">
        <v>29</v>
      </c>
      <c r="C92" s="78"/>
      <c r="D92" s="30"/>
      <c r="E92" s="30"/>
      <c r="F92" s="4"/>
      <c r="G92" s="30"/>
      <c r="H92" s="9"/>
    </row>
    <row r="93" spans="2:8" x14ac:dyDescent="0.3">
      <c r="B93" s="47" t="s">
        <v>149</v>
      </c>
      <c r="C93" s="49">
        <v>3766.9215449999997</v>
      </c>
      <c r="D93" s="30"/>
      <c r="E93" s="30"/>
      <c r="F93" s="4"/>
      <c r="G93" s="30"/>
      <c r="H93" s="9"/>
    </row>
    <row r="94" spans="2:8" x14ac:dyDescent="0.3">
      <c r="B94" s="47" t="s">
        <v>173</v>
      </c>
      <c r="C94" s="49">
        <v>141958.08270668716</v>
      </c>
      <c r="D94" s="30"/>
      <c r="E94" s="30"/>
      <c r="F94" s="4"/>
      <c r="G94" s="30"/>
      <c r="H94" s="9"/>
    </row>
    <row r="95" spans="2:8" x14ac:dyDescent="0.3">
      <c r="B95" s="57" t="s">
        <v>30</v>
      </c>
      <c r="C95" s="78"/>
      <c r="D95" s="30"/>
      <c r="E95" s="30"/>
      <c r="F95" s="4"/>
      <c r="G95" s="30"/>
      <c r="H95" s="9"/>
    </row>
    <row r="96" spans="2:8" x14ac:dyDescent="0.3">
      <c r="B96" s="47" t="s">
        <v>145</v>
      </c>
      <c r="C96" s="49">
        <v>12482.189999999999</v>
      </c>
      <c r="D96" s="30"/>
      <c r="E96" s="30"/>
      <c r="F96" s="4"/>
      <c r="G96" s="30"/>
      <c r="H96" s="9"/>
    </row>
    <row r="97" spans="2:8" x14ac:dyDescent="0.3">
      <c r="B97" s="47" t="s">
        <v>146</v>
      </c>
      <c r="C97" s="49">
        <v>15518.906999999997</v>
      </c>
      <c r="D97" s="30"/>
      <c r="E97" s="30"/>
      <c r="F97" s="4"/>
      <c r="G97" s="30"/>
      <c r="H97" s="9"/>
    </row>
    <row r="98" spans="2:8" x14ac:dyDescent="0.3">
      <c r="B98" s="47" t="s">
        <v>147</v>
      </c>
      <c r="C98" s="49">
        <v>12150.215</v>
      </c>
      <c r="D98" s="30"/>
      <c r="E98" s="30"/>
      <c r="F98" s="4"/>
      <c r="G98" s="30"/>
      <c r="H98" s="9"/>
    </row>
    <row r="99" spans="2:8" x14ac:dyDescent="0.3">
      <c r="B99" s="57" t="s">
        <v>31</v>
      </c>
      <c r="C99" s="78"/>
      <c r="D99" s="30"/>
      <c r="E99" s="30"/>
      <c r="F99" s="4"/>
      <c r="G99" s="30"/>
      <c r="H99" s="9"/>
    </row>
    <row r="100" spans="2:8" x14ac:dyDescent="0.3">
      <c r="B100" s="47" t="s">
        <v>136</v>
      </c>
      <c r="C100" s="49">
        <v>71908.643000000011</v>
      </c>
      <c r="D100" s="30"/>
      <c r="E100" s="30"/>
      <c r="F100" s="4"/>
      <c r="G100" s="30"/>
      <c r="H100" s="9"/>
    </row>
    <row r="101" spans="2:8" x14ac:dyDescent="0.3">
      <c r="B101" s="47" t="s">
        <v>137</v>
      </c>
      <c r="C101" s="49">
        <v>72200.594999999987</v>
      </c>
      <c r="D101" s="30"/>
      <c r="E101" s="30"/>
      <c r="F101" s="4"/>
      <c r="G101" s="30"/>
      <c r="H101" s="9"/>
    </row>
    <row r="102" spans="2:8" x14ac:dyDescent="0.3">
      <c r="B102" s="57" t="s">
        <v>3</v>
      </c>
      <c r="C102" s="78"/>
      <c r="D102" s="30"/>
      <c r="E102" s="30"/>
      <c r="F102" s="4"/>
      <c r="G102" s="30"/>
      <c r="H102" s="9"/>
    </row>
    <row r="103" spans="2:8" x14ac:dyDescent="0.3">
      <c r="B103" s="47" t="s">
        <v>121</v>
      </c>
      <c r="C103" s="49">
        <v>373791.26</v>
      </c>
      <c r="D103" s="30"/>
      <c r="E103" s="30"/>
      <c r="F103" s="4"/>
      <c r="G103" s="30"/>
      <c r="H103" s="9"/>
    </row>
    <row r="104" spans="2:8" x14ac:dyDescent="0.3">
      <c r="B104" s="57" t="s">
        <v>33</v>
      </c>
      <c r="C104" s="78"/>
      <c r="D104" s="30"/>
      <c r="E104" s="30"/>
      <c r="F104" s="4"/>
      <c r="G104" s="30"/>
      <c r="H104" s="9"/>
    </row>
    <row r="105" spans="2:8" x14ac:dyDescent="0.3">
      <c r="B105" s="47" t="s">
        <v>128</v>
      </c>
      <c r="C105" s="49">
        <v>6458.4300000000012</v>
      </c>
      <c r="D105" s="30"/>
      <c r="E105" s="30"/>
      <c r="F105" s="4"/>
      <c r="G105" s="30"/>
      <c r="H105" s="9"/>
    </row>
    <row r="106" spans="2:8" x14ac:dyDescent="0.3">
      <c r="B106" s="47" t="s">
        <v>129</v>
      </c>
      <c r="C106" s="49">
        <v>5753.3399999999992</v>
      </c>
      <c r="D106" s="30"/>
      <c r="E106" s="30"/>
      <c r="F106" s="4"/>
      <c r="G106" s="30"/>
      <c r="H106" s="9"/>
    </row>
    <row r="107" spans="2:8" x14ac:dyDescent="0.3">
      <c r="B107" s="47" t="s">
        <v>130</v>
      </c>
      <c r="C107" s="49">
        <v>6045.0469999999987</v>
      </c>
      <c r="D107" s="30"/>
      <c r="E107" s="30"/>
      <c r="F107" s="4"/>
      <c r="G107" s="30"/>
      <c r="H107" s="9"/>
    </row>
    <row r="108" spans="2:8" x14ac:dyDescent="0.3">
      <c r="B108" s="47" t="s">
        <v>131</v>
      </c>
      <c r="C108" s="49">
        <v>4570.0379999999996</v>
      </c>
      <c r="D108" s="30"/>
      <c r="E108" s="30"/>
      <c r="F108" s="4"/>
      <c r="G108" s="30"/>
      <c r="H108" s="9"/>
    </row>
    <row r="109" spans="2:8" x14ac:dyDescent="0.3">
      <c r="B109" s="47" t="s">
        <v>132</v>
      </c>
      <c r="C109" s="49">
        <v>80968.934000000008</v>
      </c>
      <c r="D109" s="30"/>
      <c r="E109" s="30"/>
      <c r="F109" s="4"/>
      <c r="G109" s="30"/>
      <c r="H109" s="9"/>
    </row>
    <row r="110" spans="2:8" x14ac:dyDescent="0.3">
      <c r="B110" s="57" t="s">
        <v>34</v>
      </c>
      <c r="C110" s="78"/>
      <c r="D110" s="30"/>
      <c r="E110" s="30"/>
      <c r="F110" s="4"/>
      <c r="G110" s="30"/>
      <c r="H110" s="9"/>
    </row>
    <row r="111" spans="2:8" x14ac:dyDescent="0.3">
      <c r="B111" s="47" t="s">
        <v>138</v>
      </c>
      <c r="C111" s="49">
        <v>86076.892000000022</v>
      </c>
      <c r="D111" s="30"/>
      <c r="E111" s="30"/>
      <c r="F111" s="4"/>
      <c r="G111" s="30"/>
      <c r="H111" s="9"/>
    </row>
    <row r="112" spans="2:8" x14ac:dyDescent="0.3">
      <c r="B112" s="47" t="s">
        <v>139</v>
      </c>
      <c r="C112" s="49">
        <v>79960.05799999999</v>
      </c>
      <c r="D112" s="30"/>
      <c r="E112" s="30"/>
      <c r="F112" s="4"/>
      <c r="G112" s="30"/>
      <c r="H112" s="9"/>
    </row>
    <row r="113" spans="2:8" x14ac:dyDescent="0.3">
      <c r="B113" s="57" t="s">
        <v>35</v>
      </c>
      <c r="C113" s="78"/>
      <c r="D113" s="30"/>
      <c r="E113" s="30"/>
      <c r="F113" s="4"/>
      <c r="G113" s="30"/>
      <c r="H113" s="9"/>
    </row>
    <row r="114" spans="2:8" x14ac:dyDescent="0.3">
      <c r="B114" s="47" t="s">
        <v>158</v>
      </c>
      <c r="C114" s="49">
        <v>105447.58899999999</v>
      </c>
      <c r="D114" s="30"/>
      <c r="E114" s="30"/>
      <c r="F114" s="4"/>
      <c r="G114" s="30"/>
      <c r="H114" s="9"/>
    </row>
    <row r="115" spans="2:8" x14ac:dyDescent="0.3">
      <c r="B115" s="47" t="s">
        <v>159</v>
      </c>
      <c r="C115" s="49">
        <v>99492.22</v>
      </c>
      <c r="D115" s="30"/>
      <c r="E115" s="30"/>
      <c r="F115" s="4"/>
      <c r="G115" s="30"/>
      <c r="H115" s="9"/>
    </row>
    <row r="116" spans="2:8" x14ac:dyDescent="0.3">
      <c r="B116" s="57" t="s">
        <v>4</v>
      </c>
      <c r="C116" s="78"/>
      <c r="D116" s="30"/>
      <c r="E116" s="30"/>
      <c r="F116" s="4"/>
      <c r="G116" s="30"/>
      <c r="H116" s="9"/>
    </row>
    <row r="117" spans="2:8" x14ac:dyDescent="0.3">
      <c r="B117" s="47" t="s">
        <v>151</v>
      </c>
      <c r="C117" s="49">
        <v>16358.64</v>
      </c>
      <c r="D117" s="30"/>
      <c r="E117" s="30"/>
      <c r="F117" s="4"/>
      <c r="G117" s="30"/>
      <c r="H117" s="9"/>
    </row>
    <row r="118" spans="2:8" x14ac:dyDescent="0.3">
      <c r="B118" s="57" t="s">
        <v>36</v>
      </c>
      <c r="C118" s="78"/>
      <c r="D118" s="30"/>
      <c r="E118" s="30"/>
      <c r="F118" s="4"/>
      <c r="G118" s="30"/>
      <c r="H118" s="9"/>
    </row>
    <row r="119" spans="2:8" x14ac:dyDescent="0.3">
      <c r="B119" s="47" t="s">
        <v>152</v>
      </c>
      <c r="C119" s="49">
        <v>42148.481999999996</v>
      </c>
      <c r="D119" s="30"/>
      <c r="E119" s="30"/>
      <c r="F119" s="4"/>
      <c r="G119" s="30"/>
      <c r="H119" s="9"/>
    </row>
    <row r="120" spans="2:8" x14ac:dyDescent="0.3">
      <c r="B120" s="57" t="s">
        <v>37</v>
      </c>
      <c r="C120" s="78"/>
      <c r="D120" s="30"/>
      <c r="E120" s="30"/>
      <c r="F120" s="4"/>
      <c r="G120" s="30"/>
      <c r="H120" s="9"/>
    </row>
    <row r="121" spans="2:8" x14ac:dyDescent="0.3">
      <c r="B121" s="47" t="s">
        <v>153</v>
      </c>
      <c r="C121" s="49">
        <v>18995.719000000001</v>
      </c>
      <c r="D121" s="30"/>
      <c r="E121" s="30"/>
      <c r="F121" s="4"/>
      <c r="G121" s="30"/>
      <c r="H121" s="9"/>
    </row>
    <row r="122" spans="2:8" x14ac:dyDescent="0.3">
      <c r="B122" s="57" t="s">
        <v>38</v>
      </c>
      <c r="C122" s="78"/>
      <c r="D122" s="30"/>
      <c r="E122" s="30"/>
      <c r="F122" s="4"/>
      <c r="G122" s="30"/>
      <c r="H122" s="9"/>
    </row>
    <row r="123" spans="2:8" x14ac:dyDescent="0.3">
      <c r="B123" s="47" t="s">
        <v>140</v>
      </c>
      <c r="C123" s="49">
        <v>4552.4240000000009</v>
      </c>
      <c r="D123" s="30"/>
      <c r="E123" s="30"/>
      <c r="F123" s="4"/>
      <c r="G123" s="30"/>
      <c r="H123" s="9"/>
    </row>
    <row r="124" spans="2:8" x14ac:dyDescent="0.3">
      <c r="B124" s="47" t="s">
        <v>141</v>
      </c>
      <c r="C124" s="49">
        <v>4698.2270000000008</v>
      </c>
      <c r="D124" s="30"/>
      <c r="E124" s="30"/>
      <c r="F124" s="4"/>
      <c r="G124" s="30"/>
      <c r="H124" s="9"/>
    </row>
    <row r="125" spans="2:8" x14ac:dyDescent="0.3">
      <c r="B125" s="57" t="s">
        <v>39</v>
      </c>
      <c r="C125" s="78"/>
      <c r="D125" s="30"/>
      <c r="E125" s="30"/>
      <c r="F125" s="4"/>
      <c r="G125" s="30"/>
      <c r="H125" s="9"/>
    </row>
    <row r="126" spans="2:8" x14ac:dyDescent="0.3">
      <c r="B126" s="47" t="s">
        <v>154</v>
      </c>
      <c r="C126" s="49">
        <v>16688.195999999996</v>
      </c>
      <c r="D126" s="30"/>
      <c r="E126" s="30"/>
      <c r="F126" s="4"/>
      <c r="G126" s="30"/>
      <c r="H126" s="9"/>
    </row>
    <row r="127" spans="2:8" x14ac:dyDescent="0.3">
      <c r="B127" s="57" t="s">
        <v>5</v>
      </c>
      <c r="C127" s="78"/>
      <c r="D127" s="30"/>
      <c r="E127" s="30"/>
      <c r="F127" s="4"/>
      <c r="G127" s="30"/>
      <c r="H127" s="9"/>
    </row>
    <row r="128" spans="2:8" x14ac:dyDescent="0.3">
      <c r="B128" s="47" t="s">
        <v>155</v>
      </c>
      <c r="C128" s="49">
        <v>7388.4</v>
      </c>
      <c r="D128" s="30"/>
      <c r="E128" s="30"/>
      <c r="F128" s="4"/>
      <c r="G128" s="30"/>
      <c r="H128" s="9"/>
    </row>
    <row r="129" spans="2:8" x14ac:dyDescent="0.3">
      <c r="B129" s="57" t="s">
        <v>40</v>
      </c>
      <c r="C129" s="78"/>
      <c r="D129" s="30"/>
      <c r="E129" s="30"/>
      <c r="F129" s="4"/>
      <c r="G129" s="30"/>
      <c r="H129" s="9"/>
    </row>
    <row r="130" spans="2:8" x14ac:dyDescent="0.3">
      <c r="B130" s="47" t="s">
        <v>135</v>
      </c>
      <c r="C130" s="49">
        <v>70554.083999999988</v>
      </c>
      <c r="D130" s="30"/>
      <c r="E130" s="30"/>
      <c r="F130" s="4"/>
      <c r="G130" s="30"/>
      <c r="H130" s="9"/>
    </row>
    <row r="131" spans="2:8" x14ac:dyDescent="0.3">
      <c r="B131" s="57" t="s">
        <v>2</v>
      </c>
      <c r="C131" s="78"/>
      <c r="D131" s="30"/>
      <c r="E131" s="30"/>
      <c r="F131" s="4"/>
      <c r="G131" s="30"/>
      <c r="H131" s="9"/>
    </row>
    <row r="132" spans="2:8" x14ac:dyDescent="0.3">
      <c r="B132" s="47" t="s">
        <v>122</v>
      </c>
      <c r="C132" s="49">
        <v>555713.26</v>
      </c>
      <c r="D132" s="30"/>
      <c r="E132" s="30"/>
      <c r="F132" s="4"/>
      <c r="G132" s="30"/>
      <c r="H132" s="9"/>
    </row>
    <row r="133" spans="2:8" x14ac:dyDescent="0.3">
      <c r="B133" s="57" t="s">
        <v>42</v>
      </c>
      <c r="C133" s="78"/>
      <c r="D133" s="30"/>
      <c r="E133" s="30"/>
      <c r="F133" s="4"/>
      <c r="G133" s="30"/>
      <c r="H133" s="9"/>
    </row>
    <row r="134" spans="2:8" x14ac:dyDescent="0.3">
      <c r="B134" s="47" t="s">
        <v>133</v>
      </c>
      <c r="C134" s="49">
        <v>36699.025999999998</v>
      </c>
      <c r="D134" s="30"/>
      <c r="E134" s="30"/>
      <c r="F134" s="4"/>
      <c r="G134" s="30"/>
      <c r="H134" s="9"/>
    </row>
    <row r="135" spans="2:8" x14ac:dyDescent="0.3">
      <c r="B135" s="47" t="s">
        <v>134</v>
      </c>
      <c r="C135" s="49">
        <v>45291.724999999999</v>
      </c>
      <c r="D135" s="30"/>
      <c r="E135" s="30"/>
      <c r="F135" s="4"/>
      <c r="G135" s="30"/>
      <c r="H135" s="9"/>
    </row>
    <row r="136" spans="2:8" x14ac:dyDescent="0.3">
      <c r="B136" s="57" t="s">
        <v>43</v>
      </c>
      <c r="C136" s="78"/>
      <c r="D136" s="30"/>
      <c r="E136" s="30"/>
      <c r="F136" s="4"/>
      <c r="G136" s="30"/>
      <c r="H136" s="9"/>
    </row>
    <row r="137" spans="2:8" x14ac:dyDescent="0.3">
      <c r="B137" s="47" t="s">
        <v>124</v>
      </c>
      <c r="C137" s="49">
        <v>11358.185999999998</v>
      </c>
      <c r="D137" s="30"/>
      <c r="E137" s="30"/>
      <c r="F137" s="4"/>
      <c r="G137" s="30"/>
      <c r="H137" s="9"/>
    </row>
    <row r="138" spans="2:8" x14ac:dyDescent="0.3">
      <c r="B138" s="57" t="s">
        <v>46</v>
      </c>
      <c r="C138" s="78"/>
      <c r="D138" s="30"/>
      <c r="E138" s="30"/>
      <c r="F138" s="4"/>
      <c r="G138" s="30"/>
      <c r="H138" s="9"/>
    </row>
    <row r="139" spans="2:8" x14ac:dyDescent="0.3">
      <c r="B139" s="47" t="s">
        <v>150</v>
      </c>
      <c r="C139" s="49">
        <v>223487.34744793986</v>
      </c>
      <c r="D139" s="30"/>
      <c r="E139" s="30"/>
      <c r="F139" s="4"/>
      <c r="G139" s="30"/>
      <c r="H139" s="9"/>
    </row>
    <row r="140" spans="2:8" x14ac:dyDescent="0.3">
      <c r="B140" s="57" t="s">
        <v>1</v>
      </c>
      <c r="C140" s="78"/>
      <c r="D140" s="30"/>
      <c r="E140" s="30"/>
      <c r="F140" s="4"/>
      <c r="G140" s="30"/>
      <c r="H140" s="9"/>
    </row>
    <row r="141" spans="2:8" x14ac:dyDescent="0.3">
      <c r="B141" s="47" t="s">
        <v>123</v>
      </c>
      <c r="C141" s="49">
        <v>8366.9229999999989</v>
      </c>
      <c r="D141" s="30"/>
      <c r="E141" s="30"/>
      <c r="F141" s="4"/>
      <c r="G141" s="30"/>
      <c r="H141" s="9"/>
    </row>
    <row r="142" spans="2:8" x14ac:dyDescent="0.3">
      <c r="F142" s="9"/>
    </row>
    <row r="143" spans="2:8" ht="28.8" x14ac:dyDescent="0.3">
      <c r="B143" s="84" t="s">
        <v>164</v>
      </c>
      <c r="C143" s="79" t="s">
        <v>165</v>
      </c>
      <c r="D143" s="99"/>
      <c r="E143" s="99"/>
      <c r="F143" s="4"/>
    </row>
    <row r="144" spans="2:8" x14ac:dyDescent="0.3">
      <c r="B144" s="7" t="s">
        <v>12</v>
      </c>
      <c r="C144" s="85">
        <f>+SUM(C145:C146)</f>
        <v>79491</v>
      </c>
      <c r="D144" s="31"/>
      <c r="E144" s="31"/>
      <c r="F144" s="14"/>
    </row>
    <row r="145" spans="2:6" x14ac:dyDescent="0.3">
      <c r="B145" s="57" t="s">
        <v>13</v>
      </c>
      <c r="C145" s="78"/>
      <c r="D145" s="30"/>
      <c r="E145" s="30"/>
      <c r="F145" s="4"/>
    </row>
    <row r="146" spans="2:6" x14ac:dyDescent="0.3">
      <c r="B146" s="47" t="s">
        <v>191</v>
      </c>
      <c r="C146" s="49">
        <v>79491</v>
      </c>
    </row>
    <row r="148" spans="2:6" ht="28.8" x14ac:dyDescent="0.3">
      <c r="B148" s="84" t="s">
        <v>164</v>
      </c>
      <c r="C148" s="79" t="s">
        <v>165</v>
      </c>
    </row>
    <row r="149" spans="2:6" x14ac:dyDescent="0.3">
      <c r="B149" s="7" t="s">
        <v>8</v>
      </c>
      <c r="C149" s="85">
        <f>+SUM(C150:C151)</f>
        <v>36.528500000000001</v>
      </c>
    </row>
    <row r="150" spans="2:6" x14ac:dyDescent="0.3">
      <c r="B150" s="57" t="s">
        <v>9</v>
      </c>
      <c r="C150" s="78"/>
    </row>
    <row r="151" spans="2:6" x14ac:dyDescent="0.3">
      <c r="B151" s="47" t="s">
        <v>323</v>
      </c>
      <c r="C151" s="49">
        <v>36.528500000000001</v>
      </c>
    </row>
  </sheetData>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J145"/>
  <sheetViews>
    <sheetView zoomScaleNormal="100" workbookViewId="0"/>
  </sheetViews>
  <sheetFormatPr baseColWidth="10" defaultColWidth="9.109375" defaultRowHeight="14.4" x14ac:dyDescent="0.3"/>
  <cols>
    <col min="1" max="1" width="9.109375" style="1"/>
    <col min="2" max="2" width="39" style="1" customWidth="1"/>
    <col min="3" max="3" width="13.5546875" style="1" customWidth="1"/>
    <col min="4" max="5" width="11.109375" style="1" customWidth="1"/>
    <col min="6" max="6" width="14.44140625" style="1" customWidth="1"/>
    <col min="7" max="7" width="15.33203125" style="1" customWidth="1"/>
    <col min="8" max="8" width="16.88671875" style="1" customWidth="1"/>
    <col min="9" max="16384" width="9.109375" style="1"/>
  </cols>
  <sheetData>
    <row r="3" spans="2:10" ht="23.4" x14ac:dyDescent="0.45">
      <c r="B3" s="286" t="s">
        <v>356</v>
      </c>
      <c r="D3" s="286">
        <v>2012</v>
      </c>
    </row>
    <row r="4" spans="2:10" x14ac:dyDescent="0.3">
      <c r="G4" s="9"/>
      <c r="H4" s="9"/>
      <c r="I4" s="9"/>
      <c r="J4" s="9"/>
    </row>
    <row r="5" spans="2:10" x14ac:dyDescent="0.3">
      <c r="G5" s="9"/>
      <c r="H5" s="9"/>
      <c r="I5" s="9"/>
      <c r="J5" s="9"/>
    </row>
    <row r="6" spans="2:10" x14ac:dyDescent="0.3">
      <c r="B6" s="86" t="s">
        <v>160</v>
      </c>
      <c r="C6" s="87">
        <f>+C7+C9</f>
        <v>6861925.925946651</v>
      </c>
      <c r="D6" s="32"/>
      <c r="E6" s="32"/>
      <c r="F6" s="32"/>
      <c r="G6" s="32"/>
      <c r="H6" s="9"/>
      <c r="I6" s="9"/>
      <c r="J6" s="9"/>
    </row>
    <row r="7" spans="2:10" x14ac:dyDescent="0.3">
      <c r="B7" s="88" t="s">
        <v>161</v>
      </c>
      <c r="C7" s="90">
        <f>+C77+C143</f>
        <v>2386578.6652733334</v>
      </c>
      <c r="D7" s="98"/>
      <c r="E7" s="98"/>
      <c r="F7" s="98"/>
      <c r="G7" s="32"/>
      <c r="H7" s="9"/>
      <c r="I7" s="9"/>
      <c r="J7" s="9"/>
    </row>
    <row r="8" spans="2:10" x14ac:dyDescent="0.3">
      <c r="B8" s="88" t="s">
        <v>76</v>
      </c>
      <c r="C8" s="91">
        <f>+C7/C6</f>
        <v>0.34780012069921729</v>
      </c>
      <c r="D8" s="94"/>
      <c r="E8" s="94"/>
      <c r="F8" s="94"/>
      <c r="G8" s="32"/>
      <c r="H8" s="9"/>
      <c r="I8" s="9"/>
      <c r="J8" s="9"/>
    </row>
    <row r="9" spans="2:10" x14ac:dyDescent="0.3">
      <c r="B9" s="88" t="s">
        <v>162</v>
      </c>
      <c r="C9" s="90">
        <f>+C22</f>
        <v>4475347.2606733171</v>
      </c>
      <c r="D9" s="98"/>
      <c r="E9" s="98"/>
      <c r="F9" s="98"/>
      <c r="G9" s="32"/>
      <c r="H9" s="9"/>
      <c r="I9" s="9"/>
      <c r="J9" s="9"/>
    </row>
    <row r="10" spans="2:10" x14ac:dyDescent="0.3">
      <c r="B10" s="89" t="s">
        <v>77</v>
      </c>
      <c r="C10" s="92">
        <f>+C9/C6</f>
        <v>0.65219987930078271</v>
      </c>
      <c r="D10" s="94"/>
      <c r="E10" s="94"/>
      <c r="F10" s="94"/>
      <c r="G10" s="33"/>
      <c r="H10" s="9"/>
      <c r="I10" s="9"/>
      <c r="J10" s="9"/>
    </row>
    <row r="11" spans="2:10" x14ac:dyDescent="0.3">
      <c r="B11" s="93"/>
      <c r="C11" s="94"/>
      <c r="D11" s="94"/>
      <c r="E11" s="94"/>
      <c r="F11" s="94"/>
      <c r="G11" s="33"/>
      <c r="H11" s="9"/>
      <c r="I11" s="9"/>
      <c r="J11" s="9"/>
    </row>
    <row r="12" spans="2:10" x14ac:dyDescent="0.3">
      <c r="B12" s="86" t="s">
        <v>273</v>
      </c>
      <c r="C12" s="174"/>
      <c r="D12" s="94"/>
      <c r="E12" s="94"/>
      <c r="F12" s="94"/>
      <c r="G12" s="33"/>
      <c r="H12" s="9"/>
      <c r="I12" s="9"/>
      <c r="J12" s="9"/>
    </row>
    <row r="13" spans="2:10" x14ac:dyDescent="0.3">
      <c r="B13" s="178" t="s">
        <v>115</v>
      </c>
      <c r="C13" s="175">
        <v>3412.14</v>
      </c>
      <c r="D13" s="94"/>
      <c r="E13" s="94"/>
      <c r="F13" s="94"/>
      <c r="G13" s="33"/>
      <c r="H13" s="9"/>
      <c r="I13" s="9"/>
      <c r="J13" s="9"/>
    </row>
    <row r="14" spans="2:10" ht="15.6" x14ac:dyDescent="0.3">
      <c r="B14" s="178" t="s">
        <v>272</v>
      </c>
      <c r="C14" s="176">
        <v>5.6099999999999997E-2</v>
      </c>
      <c r="D14" s="94"/>
      <c r="E14" s="94"/>
      <c r="F14" s="94"/>
      <c r="G14" s="33"/>
      <c r="H14" s="9"/>
      <c r="I14" s="9"/>
      <c r="J14" s="9"/>
    </row>
    <row r="15" spans="2:10" ht="14.25" customHeight="1" x14ac:dyDescent="0.3">
      <c r="B15" s="179" t="s">
        <v>116</v>
      </c>
      <c r="C15" s="177">
        <v>3.6</v>
      </c>
      <c r="D15" s="94"/>
      <c r="E15" s="94"/>
      <c r="F15" s="94"/>
      <c r="G15" s="33"/>
      <c r="H15" s="9"/>
      <c r="I15" s="9"/>
      <c r="J15" s="9"/>
    </row>
    <row r="16" spans="2:10" ht="15" thickBot="1" x14ac:dyDescent="0.35">
      <c r="B16" s="93"/>
      <c r="C16" s="94"/>
      <c r="D16" s="94"/>
      <c r="E16" s="94"/>
      <c r="F16" s="94"/>
      <c r="G16" s="33"/>
      <c r="H16" s="9"/>
      <c r="I16" s="9"/>
      <c r="J16" s="9"/>
    </row>
    <row r="17" spans="2:10" ht="16.2" thickBot="1" x14ac:dyDescent="0.4">
      <c r="B17" s="96" t="s">
        <v>171</v>
      </c>
      <c r="C17" s="97">
        <f>+H22/C6</f>
        <v>0.41061499921819916</v>
      </c>
      <c r="D17" s="95"/>
      <c r="E17" s="95"/>
      <c r="F17" s="95"/>
      <c r="G17" s="33"/>
      <c r="H17" s="9"/>
      <c r="I17" s="9"/>
      <c r="J17" s="9"/>
    </row>
    <row r="18" spans="2:10" ht="15" thickBot="1" x14ac:dyDescent="0.35">
      <c r="B18" s="93"/>
      <c r="C18" s="95"/>
      <c r="D18" s="95"/>
      <c r="E18" s="95"/>
      <c r="F18" s="95"/>
      <c r="G18" s="33"/>
      <c r="H18" s="9"/>
      <c r="I18" s="9"/>
      <c r="J18" s="9"/>
    </row>
    <row r="19" spans="2:10" ht="16.2" thickBot="1" x14ac:dyDescent="0.4">
      <c r="B19" s="96" t="s">
        <v>171</v>
      </c>
      <c r="C19" s="97">
        <f>+H22/C9</f>
        <v>0.62958459860252602</v>
      </c>
      <c r="D19" s="95"/>
      <c r="E19" s="95"/>
      <c r="F19" s="95"/>
      <c r="G19" s="33"/>
      <c r="H19" s="9"/>
      <c r="I19" s="9"/>
      <c r="J19" s="9"/>
    </row>
    <row r="20" spans="2:10" x14ac:dyDescent="0.3">
      <c r="B20" s="93"/>
      <c r="C20" s="95"/>
      <c r="D20" s="95"/>
      <c r="E20" s="95"/>
      <c r="F20" s="95"/>
      <c r="G20" s="33"/>
      <c r="H20" s="9"/>
      <c r="I20" s="9"/>
      <c r="J20" s="9"/>
    </row>
    <row r="21" spans="2:10" ht="33" customHeight="1" x14ac:dyDescent="0.35">
      <c r="B21" s="81" t="s">
        <v>163</v>
      </c>
      <c r="C21" s="79" t="s">
        <v>197</v>
      </c>
      <c r="D21" s="79" t="s">
        <v>168</v>
      </c>
      <c r="E21" s="79" t="s">
        <v>169</v>
      </c>
      <c r="F21" s="79" t="s">
        <v>170</v>
      </c>
      <c r="G21" s="79" t="s">
        <v>209</v>
      </c>
      <c r="H21" s="80" t="s">
        <v>208</v>
      </c>
    </row>
    <row r="22" spans="2:10" x14ac:dyDescent="0.3">
      <c r="B22" s="16" t="s">
        <v>15</v>
      </c>
      <c r="C22" s="58">
        <f>SUM(C23:C74)</f>
        <v>4475347.2606733171</v>
      </c>
      <c r="D22" s="58"/>
      <c r="E22" s="58"/>
      <c r="F22" s="58"/>
      <c r="G22" s="17"/>
      <c r="H22" s="74">
        <f>SUM(H23:H74)</f>
        <v>2817609.7087179245</v>
      </c>
    </row>
    <row r="23" spans="2:10" x14ac:dyDescent="0.3">
      <c r="B23" s="75" t="s">
        <v>317</v>
      </c>
      <c r="C23" s="61"/>
      <c r="D23" s="106">
        <f>+SUM(D24)</f>
        <v>17.5</v>
      </c>
      <c r="E23" s="54">
        <f>+E24</f>
        <v>9682</v>
      </c>
      <c r="F23" s="51">
        <f t="shared" ref="F23:F53" si="0">1/(E23/$C$13)</f>
        <v>0.35242098739929767</v>
      </c>
      <c r="G23" s="46">
        <f t="shared" ref="G23:G53" si="1">+$C$14*$C$15/F23</f>
        <v>0.57306462220190257</v>
      </c>
      <c r="H23" s="65">
        <f>+G23*C23</f>
        <v>0</v>
      </c>
    </row>
    <row r="24" spans="2:10" x14ac:dyDescent="0.3">
      <c r="B24" s="76" t="s">
        <v>318</v>
      </c>
      <c r="C24" s="49">
        <v>57810.708899999998</v>
      </c>
      <c r="D24" s="50">
        <v>17.5</v>
      </c>
      <c r="E24" s="49">
        <v>9682</v>
      </c>
      <c r="F24" s="56">
        <f>1/(E24/$C$13)</f>
        <v>0.35242098739929767</v>
      </c>
      <c r="G24" s="59">
        <f>+$C$14*$C$15/F24</f>
        <v>0.57306462220190257</v>
      </c>
      <c r="H24" s="60">
        <f>+G24*C24</f>
        <v>33129.272055002664</v>
      </c>
    </row>
    <row r="25" spans="2:10" x14ac:dyDescent="0.3">
      <c r="B25" s="75" t="s">
        <v>19</v>
      </c>
      <c r="C25" s="61"/>
      <c r="D25" s="106">
        <f>+SUM(D26:D36)</f>
        <v>41</v>
      </c>
      <c r="E25" s="54">
        <f>SUMPRODUCT(D26:D36,E26:E36)/D25</f>
        <v>10376.951219512195</v>
      </c>
      <c r="F25" s="51">
        <f t="shared" si="0"/>
        <v>0.32881912305649247</v>
      </c>
      <c r="G25" s="46">
        <f t="shared" si="1"/>
        <v>0.6141978548045165</v>
      </c>
      <c r="H25" s="65">
        <f>+G25*C25</f>
        <v>0</v>
      </c>
    </row>
    <row r="26" spans="2:10" x14ac:dyDescent="0.3">
      <c r="B26" s="76" t="s">
        <v>87</v>
      </c>
      <c r="C26" s="49">
        <v>6370.2055145175</v>
      </c>
      <c r="D26" s="50">
        <v>3</v>
      </c>
      <c r="E26" s="49">
        <v>10201</v>
      </c>
      <c r="F26" s="55">
        <f>1/(E26/$C$13)</f>
        <v>0.33449073620233311</v>
      </c>
      <c r="G26" s="59">
        <f>+$C$14*$C$15/F26</f>
        <v>0.60378353760396697</v>
      </c>
      <c r="H26" s="60">
        <f>+G26*C26</f>
        <v>3846.2252208196746</v>
      </c>
    </row>
    <row r="27" spans="2:10" x14ac:dyDescent="0.3">
      <c r="B27" s="76" t="s">
        <v>88</v>
      </c>
      <c r="C27" s="49">
        <v>0</v>
      </c>
      <c r="D27" s="50">
        <v>3</v>
      </c>
      <c r="E27" s="49">
        <v>10201</v>
      </c>
      <c r="F27" s="55">
        <f t="shared" si="0"/>
        <v>0.33449073620233311</v>
      </c>
      <c r="G27" s="59">
        <f t="shared" si="1"/>
        <v>0.60378353760396697</v>
      </c>
      <c r="H27" s="60">
        <f t="shared" ref="H27:H36" si="2">+G27*C27</f>
        <v>0</v>
      </c>
    </row>
    <row r="28" spans="2:10" x14ac:dyDescent="0.3">
      <c r="B28" s="76" t="s">
        <v>89</v>
      </c>
      <c r="C28" s="49">
        <v>7512.4494400000012</v>
      </c>
      <c r="D28" s="50">
        <v>3</v>
      </c>
      <c r="E28" s="49">
        <v>10201</v>
      </c>
      <c r="F28" s="55">
        <f t="shared" si="0"/>
        <v>0.33449073620233311</v>
      </c>
      <c r="G28" s="59">
        <f t="shared" si="1"/>
        <v>0.60378353760396697</v>
      </c>
      <c r="H28" s="60">
        <f t="shared" si="2"/>
        <v>4535.8932989541418</v>
      </c>
    </row>
    <row r="29" spans="2:10" x14ac:dyDescent="0.3">
      <c r="B29" s="76" t="s">
        <v>92</v>
      </c>
      <c r="C29" s="49">
        <v>116890.92</v>
      </c>
      <c r="D29" s="50">
        <v>18</v>
      </c>
      <c r="E29" s="49">
        <v>11497</v>
      </c>
      <c r="F29" s="55">
        <f t="shared" si="0"/>
        <v>0.29678524832565017</v>
      </c>
      <c r="G29" s="59">
        <f t="shared" si="1"/>
        <v>0.68049204311663647</v>
      </c>
      <c r="H29" s="60">
        <f t="shared" si="2"/>
        <v>79543.340972583304</v>
      </c>
    </row>
    <row r="30" spans="2:10" x14ac:dyDescent="0.3">
      <c r="B30" s="76" t="s">
        <v>93</v>
      </c>
      <c r="C30" s="49">
        <v>1184.838632</v>
      </c>
      <c r="D30" s="50">
        <v>2</v>
      </c>
      <c r="E30" s="49">
        <v>9050</v>
      </c>
      <c r="F30" s="55">
        <f t="shared" si="0"/>
        <v>0.37703204419889497</v>
      </c>
      <c r="G30" s="59">
        <f t="shared" si="1"/>
        <v>0.53565738803214413</v>
      </c>
      <c r="H30" s="60">
        <f t="shared" si="2"/>
        <v>634.66756685669884</v>
      </c>
    </row>
    <row r="31" spans="2:10" x14ac:dyDescent="0.3">
      <c r="B31" s="76" t="s">
        <v>94</v>
      </c>
      <c r="C31" s="49">
        <v>8797.9958194499977</v>
      </c>
      <c r="D31" s="50">
        <v>2</v>
      </c>
      <c r="E31" s="49">
        <v>9050</v>
      </c>
      <c r="F31" s="55">
        <f t="shared" si="0"/>
        <v>0.37703204419889497</v>
      </c>
      <c r="G31" s="59">
        <f t="shared" si="1"/>
        <v>0.53565738803214413</v>
      </c>
      <c r="H31" s="60">
        <f t="shared" si="2"/>
        <v>4712.7114605643092</v>
      </c>
    </row>
    <row r="32" spans="2:10" x14ac:dyDescent="0.3">
      <c r="B32" s="76" t="s">
        <v>95</v>
      </c>
      <c r="C32" s="49">
        <v>8208.257778800009</v>
      </c>
      <c r="D32" s="50">
        <v>2</v>
      </c>
      <c r="E32" s="49">
        <v>9050</v>
      </c>
      <c r="F32" s="55">
        <f t="shared" si="0"/>
        <v>0.37703204419889497</v>
      </c>
      <c r="G32" s="59">
        <f t="shared" si="1"/>
        <v>0.53565738803214413</v>
      </c>
      <c r="H32" s="60">
        <f t="shared" si="2"/>
        <v>4396.8139220865423</v>
      </c>
    </row>
    <row r="33" spans="2:8" x14ac:dyDescent="0.3">
      <c r="B33" s="76" t="s">
        <v>96</v>
      </c>
      <c r="C33" s="49">
        <v>11548.431087550014</v>
      </c>
      <c r="D33" s="50">
        <v>2</v>
      </c>
      <c r="E33" s="49">
        <v>9050</v>
      </c>
      <c r="F33" s="55">
        <f t="shared" si="0"/>
        <v>0.37703204419889497</v>
      </c>
      <c r="G33" s="59">
        <f t="shared" si="1"/>
        <v>0.53565738803214413</v>
      </c>
      <c r="H33" s="60">
        <f t="shared" si="2"/>
        <v>6186.0024322262543</v>
      </c>
    </row>
    <row r="34" spans="2:8" x14ac:dyDescent="0.3">
      <c r="B34" s="76" t="s">
        <v>97</v>
      </c>
      <c r="C34" s="49">
        <v>10087.290187999994</v>
      </c>
      <c r="D34" s="50">
        <v>2</v>
      </c>
      <c r="E34" s="49">
        <v>9050</v>
      </c>
      <c r="F34" s="55">
        <f t="shared" si="0"/>
        <v>0.37703204419889497</v>
      </c>
      <c r="G34" s="59">
        <f t="shared" si="1"/>
        <v>0.53565738803214413</v>
      </c>
      <c r="H34" s="60">
        <f t="shared" si="2"/>
        <v>5403.3315144263524</v>
      </c>
    </row>
    <row r="35" spans="2:8" x14ac:dyDescent="0.3">
      <c r="B35" s="76" t="s">
        <v>98</v>
      </c>
      <c r="C35" s="53">
        <v>9538.6528150000031</v>
      </c>
      <c r="D35" s="50">
        <v>2</v>
      </c>
      <c r="E35" s="49">
        <v>9050</v>
      </c>
      <c r="F35" s="55">
        <f t="shared" si="0"/>
        <v>0.37703204419889497</v>
      </c>
      <c r="G35" s="59">
        <f t="shared" si="1"/>
        <v>0.53565738803214413</v>
      </c>
      <c r="H35" s="60">
        <f t="shared" si="2"/>
        <v>5109.4498522283602</v>
      </c>
    </row>
    <row r="36" spans="2:8" x14ac:dyDescent="0.3">
      <c r="B36" s="76" t="s">
        <v>99</v>
      </c>
      <c r="C36" s="49">
        <v>11580.990529000033</v>
      </c>
      <c r="D36" s="50">
        <v>2</v>
      </c>
      <c r="E36" s="49">
        <v>9050</v>
      </c>
      <c r="F36" s="56">
        <f t="shared" si="0"/>
        <v>0.37703204419889497</v>
      </c>
      <c r="G36" s="59">
        <f t="shared" si="1"/>
        <v>0.53565738803214413</v>
      </c>
      <c r="H36" s="60">
        <f t="shared" si="2"/>
        <v>6203.4431375891572</v>
      </c>
    </row>
    <row r="37" spans="2:8" x14ac:dyDescent="0.3">
      <c r="B37" s="77" t="s">
        <v>20</v>
      </c>
      <c r="C37" s="61"/>
      <c r="D37" s="107">
        <f>+SUM(D38:D39)</f>
        <v>90</v>
      </c>
      <c r="E37" s="44">
        <f>SUMPRODUCT(D38:D39,E38:E39)/D37</f>
        <v>8557.5</v>
      </c>
      <c r="F37" s="51">
        <f t="shared" si="0"/>
        <v>0.39873093777388252</v>
      </c>
      <c r="G37" s="46">
        <f t="shared" si="1"/>
        <v>0.50650697216409646</v>
      </c>
      <c r="H37" s="65">
        <f>+G37*C37</f>
        <v>0</v>
      </c>
    </row>
    <row r="38" spans="2:8" x14ac:dyDescent="0.3">
      <c r="B38" s="76" t="s">
        <v>113</v>
      </c>
      <c r="C38" s="49">
        <v>106480</v>
      </c>
      <c r="D38" s="50">
        <v>45</v>
      </c>
      <c r="E38" s="49">
        <v>8389</v>
      </c>
      <c r="F38" s="55">
        <f t="shared" si="0"/>
        <v>0.40673977828108238</v>
      </c>
      <c r="G38" s="59">
        <f t="shared" si="1"/>
        <v>0.49653368267421616</v>
      </c>
      <c r="H38" s="60">
        <f t="shared" ref="H38:H39" si="3">+G38*C38</f>
        <v>52870.90653115054</v>
      </c>
    </row>
    <row r="39" spans="2:8" x14ac:dyDescent="0.3">
      <c r="B39" s="76" t="s">
        <v>114</v>
      </c>
      <c r="C39" s="49">
        <v>289542</v>
      </c>
      <c r="D39" s="50">
        <v>45</v>
      </c>
      <c r="E39" s="49">
        <v>8726</v>
      </c>
      <c r="F39" s="56">
        <f t="shared" si="0"/>
        <v>0.39103140041256013</v>
      </c>
      <c r="G39" s="59">
        <f t="shared" si="1"/>
        <v>0.51648026165397676</v>
      </c>
      <c r="H39" s="60">
        <f t="shared" si="3"/>
        <v>149542.72791981575</v>
      </c>
    </row>
    <row r="40" spans="2:8" x14ac:dyDescent="0.3">
      <c r="B40" s="77" t="s">
        <v>18</v>
      </c>
      <c r="C40" s="44">
        <v>772580.19999999972</v>
      </c>
      <c r="D40" s="107">
        <f>+SUM(D41:D42)</f>
        <v>112</v>
      </c>
      <c r="E40" s="44">
        <f>SUMPRODUCT(D41:D43,E41:E43)/D40</f>
        <v>11949.967857142856</v>
      </c>
      <c r="F40" s="51">
        <f>1/(E40/$C$13)</f>
        <v>0.2855354960608083</v>
      </c>
      <c r="G40" s="46">
        <f t="shared" si="1"/>
        <v>0.70730260435637793</v>
      </c>
      <c r="H40" s="101">
        <f>+G40*C40</f>
        <v>546447.98753417109</v>
      </c>
    </row>
    <row r="41" spans="2:8" x14ac:dyDescent="0.3">
      <c r="B41" s="76" t="s">
        <v>105</v>
      </c>
      <c r="C41" s="111"/>
      <c r="D41" s="50">
        <v>56</v>
      </c>
      <c r="E41" s="49">
        <v>9830</v>
      </c>
      <c r="F41" s="55">
        <f t="shared" si="0"/>
        <v>0.34711495422177008</v>
      </c>
      <c r="G41" s="59">
        <f t="shared" si="1"/>
        <v>0.58182454412773221</v>
      </c>
      <c r="H41" s="265"/>
    </row>
    <row r="42" spans="2:8" x14ac:dyDescent="0.3">
      <c r="B42" s="76" t="s">
        <v>106</v>
      </c>
      <c r="C42" s="269"/>
      <c r="D42" s="50">
        <v>56</v>
      </c>
      <c r="E42" s="49">
        <v>9830</v>
      </c>
      <c r="F42" s="55">
        <f t="shared" si="0"/>
        <v>0.34711495422177008</v>
      </c>
      <c r="G42" s="59">
        <f t="shared" si="1"/>
        <v>0.58182454412773221</v>
      </c>
      <c r="H42" s="71"/>
    </row>
    <row r="43" spans="2:8" x14ac:dyDescent="0.3">
      <c r="B43" s="76" t="s">
        <v>315</v>
      </c>
      <c r="C43" s="53"/>
      <c r="D43" s="50">
        <v>24.4</v>
      </c>
      <c r="E43" s="49">
        <v>9731</v>
      </c>
      <c r="F43" s="55">
        <f t="shared" si="0"/>
        <v>0.35064638783269964</v>
      </c>
      <c r="G43" s="59">
        <f t="shared" si="1"/>
        <v>0.57596486662329205</v>
      </c>
      <c r="H43" s="60">
        <f t="shared" ref="H43" si="4">+G43*C43</f>
        <v>0</v>
      </c>
    </row>
    <row r="44" spans="2:8" x14ac:dyDescent="0.3">
      <c r="B44" s="77" t="s">
        <v>23</v>
      </c>
      <c r="C44" s="44"/>
      <c r="D44" s="107">
        <f>+SUM(D45:D46)</f>
        <v>46</v>
      </c>
      <c r="E44" s="44">
        <f>SUMPRODUCT(D45:D46,E45:E46)/D44</f>
        <v>10103.5</v>
      </c>
      <c r="F44" s="51">
        <f t="shared" si="0"/>
        <v>0.33771861236205275</v>
      </c>
      <c r="G44" s="46">
        <f t="shared" si="1"/>
        <v>0.59801264309201851</v>
      </c>
      <c r="H44" s="101">
        <f>+G44*C44</f>
        <v>0</v>
      </c>
    </row>
    <row r="45" spans="2:8" x14ac:dyDescent="0.3">
      <c r="B45" s="76" t="s">
        <v>107</v>
      </c>
      <c r="C45" s="53">
        <v>193238</v>
      </c>
      <c r="D45" s="50">
        <v>23</v>
      </c>
      <c r="E45" s="49">
        <v>10157</v>
      </c>
      <c r="F45" s="55">
        <f t="shared" si="0"/>
        <v>0.33593974598798854</v>
      </c>
      <c r="G45" s="59">
        <f t="shared" si="1"/>
        <v>0.60117923649088267</v>
      </c>
      <c r="H45" s="60">
        <f t="shared" ref="H45:H48" si="5">+G45*C45</f>
        <v>116170.67330102519</v>
      </c>
    </row>
    <row r="46" spans="2:8" x14ac:dyDescent="0.3">
      <c r="B46" s="76" t="s">
        <v>108</v>
      </c>
      <c r="C46" s="53">
        <v>193432</v>
      </c>
      <c r="D46" s="50">
        <v>23</v>
      </c>
      <c r="E46" s="49">
        <v>10050</v>
      </c>
      <c r="F46" s="55">
        <f t="shared" si="0"/>
        <v>0.33951641791044773</v>
      </c>
      <c r="G46" s="59">
        <f t="shared" si="1"/>
        <v>0.59484604969315447</v>
      </c>
      <c r="H46" s="60">
        <f t="shared" si="5"/>
        <v>115062.26108424626</v>
      </c>
    </row>
    <row r="47" spans="2:8" x14ac:dyDescent="0.3">
      <c r="B47" s="76" t="s">
        <v>109</v>
      </c>
      <c r="C47" s="53">
        <v>196674</v>
      </c>
      <c r="D47" s="50">
        <v>25</v>
      </c>
      <c r="E47" s="49">
        <v>10060</v>
      </c>
      <c r="F47" s="55">
        <f t="shared" si="0"/>
        <v>0.33917892644135184</v>
      </c>
      <c r="G47" s="59">
        <f t="shared" si="1"/>
        <v>0.5954379363097646</v>
      </c>
      <c r="H47" s="60">
        <f t="shared" si="5"/>
        <v>117107.16068578664</v>
      </c>
    </row>
    <row r="48" spans="2:8" x14ac:dyDescent="0.3">
      <c r="B48" s="76" t="s">
        <v>110</v>
      </c>
      <c r="C48" s="53">
        <v>183871</v>
      </c>
      <c r="D48" s="50">
        <v>25</v>
      </c>
      <c r="E48" s="49">
        <v>10033</v>
      </c>
      <c r="F48" s="55">
        <f t="shared" si="0"/>
        <v>0.34009169739858464</v>
      </c>
      <c r="G48" s="59">
        <f t="shared" si="1"/>
        <v>0.59383984244491728</v>
      </c>
      <c r="H48" s="60">
        <f t="shared" si="5"/>
        <v>109189.92567018939</v>
      </c>
    </row>
    <row r="49" spans="2:8" x14ac:dyDescent="0.3">
      <c r="B49" s="77" t="s">
        <v>16</v>
      </c>
      <c r="C49" s="61"/>
      <c r="D49" s="107">
        <f>+SUM(D50:D56)</f>
        <v>272</v>
      </c>
      <c r="E49" s="44">
        <f>SUMPRODUCT(D50:D56,E50:E56)/D49</f>
        <v>10811.382352941177</v>
      </c>
      <c r="F49" s="51">
        <f t="shared" si="0"/>
        <v>0.31560626463939145</v>
      </c>
      <c r="G49" s="46">
        <f t="shared" si="1"/>
        <v>0.63991125217605382</v>
      </c>
      <c r="H49" s="65">
        <f>+G49*C49</f>
        <v>0</v>
      </c>
    </row>
    <row r="50" spans="2:8" x14ac:dyDescent="0.3">
      <c r="B50" s="76" t="s">
        <v>78</v>
      </c>
      <c r="C50" s="49">
        <v>44186.280000000006</v>
      </c>
      <c r="D50" s="50">
        <v>22</v>
      </c>
      <c r="E50" s="49">
        <v>11971</v>
      </c>
      <c r="F50" s="55">
        <f t="shared" si="0"/>
        <v>0.2850338317600869</v>
      </c>
      <c r="G50" s="59">
        <f t="shared" si="1"/>
        <v>0.70854746874395536</v>
      </c>
      <c r="H50" s="60">
        <f t="shared" ref="H50:H55" si="6">+G50*C50</f>
        <v>31308.076847211665</v>
      </c>
    </row>
    <row r="51" spans="2:8" x14ac:dyDescent="0.3">
      <c r="B51" s="76" t="s">
        <v>79</v>
      </c>
      <c r="C51" s="49">
        <v>31007.909999999996</v>
      </c>
      <c r="D51" s="50">
        <v>20</v>
      </c>
      <c r="E51" s="49">
        <v>12595</v>
      </c>
      <c r="F51" s="55">
        <f t="shared" si="0"/>
        <v>0.27091226677252878</v>
      </c>
      <c r="G51" s="59">
        <f t="shared" si="1"/>
        <v>0.74548119362042586</v>
      </c>
      <c r="H51" s="60">
        <f t="shared" si="6"/>
        <v>23115.813758474738</v>
      </c>
    </row>
    <row r="52" spans="2:8" x14ac:dyDescent="0.3">
      <c r="B52" s="76" t="s">
        <v>80</v>
      </c>
      <c r="C52" s="49">
        <v>40516.368000000002</v>
      </c>
      <c r="D52" s="50">
        <v>20</v>
      </c>
      <c r="E52" s="49">
        <v>12834</v>
      </c>
      <c r="F52" s="55">
        <f t="shared" si="0"/>
        <v>0.26586722767648435</v>
      </c>
      <c r="G52" s="59">
        <f t="shared" si="1"/>
        <v>0.75962728375740729</v>
      </c>
      <c r="H52" s="60">
        <f t="shared" si="6"/>
        <v>30777.338571555538</v>
      </c>
    </row>
    <row r="53" spans="2:8" x14ac:dyDescent="0.3">
      <c r="B53" s="76" t="s">
        <v>81</v>
      </c>
      <c r="C53" s="49">
        <v>79926.345000000001</v>
      </c>
      <c r="D53" s="50">
        <v>21</v>
      </c>
      <c r="E53" s="49">
        <v>12644</v>
      </c>
      <c r="F53" s="56">
        <f t="shared" si="0"/>
        <v>0.26986238532110091</v>
      </c>
      <c r="G53" s="59">
        <f t="shared" si="1"/>
        <v>0.74838143804181545</v>
      </c>
      <c r="H53" s="60">
        <f t="shared" si="6"/>
        <v>59815.393008526269</v>
      </c>
    </row>
    <row r="54" spans="2:8" x14ac:dyDescent="0.3">
      <c r="B54" s="76" t="s">
        <v>82</v>
      </c>
      <c r="C54" s="49">
        <v>345670.74</v>
      </c>
      <c r="D54" s="50">
        <v>63</v>
      </c>
      <c r="E54" s="49">
        <v>10070</v>
      </c>
      <c r="F54" s="100">
        <f t="shared" ref="F54:F74" si="7">1/(E54/$C$13)</f>
        <v>0.33884210526315789</v>
      </c>
      <c r="G54" s="102">
        <f t="shared" ref="G54:G74" si="8">+$C$14*$C$15/F54</f>
        <v>0.59602982292637463</v>
      </c>
      <c r="H54" s="103">
        <f t="shared" si="6"/>
        <v>206030.06995302887</v>
      </c>
    </row>
    <row r="55" spans="2:8" x14ac:dyDescent="0.3">
      <c r="B55" s="76" t="s">
        <v>83</v>
      </c>
      <c r="C55" s="49">
        <v>425317.902</v>
      </c>
      <c r="D55" s="50">
        <v>63</v>
      </c>
      <c r="E55" s="49">
        <v>10070</v>
      </c>
      <c r="F55" s="55">
        <f t="shared" si="7"/>
        <v>0.33884210526315789</v>
      </c>
      <c r="G55" s="59">
        <f t="shared" si="8"/>
        <v>0.59602982292637463</v>
      </c>
      <c r="H55" s="60">
        <f t="shared" si="6"/>
        <v>253502.15381647716</v>
      </c>
    </row>
    <row r="56" spans="2:8" x14ac:dyDescent="0.3">
      <c r="B56" s="76" t="s">
        <v>84</v>
      </c>
      <c r="C56" s="49">
        <v>215762.25825000004</v>
      </c>
      <c r="D56" s="50">
        <v>63</v>
      </c>
      <c r="E56" s="49">
        <v>10070</v>
      </c>
      <c r="F56" s="55">
        <f t="shared" si="7"/>
        <v>0.33884210526315789</v>
      </c>
      <c r="G56" s="59">
        <f t="shared" si="8"/>
        <v>0.59602982292637463</v>
      </c>
      <c r="H56" s="60">
        <f t="shared" ref="H56:H57" si="9">+G56*C56</f>
        <v>128600.74057894223</v>
      </c>
    </row>
    <row r="57" spans="2:8" x14ac:dyDescent="0.3">
      <c r="B57" s="76" t="s">
        <v>314</v>
      </c>
      <c r="C57" s="49">
        <v>369449.51400000002</v>
      </c>
      <c r="D57" s="50"/>
      <c r="E57" s="268">
        <v>10070</v>
      </c>
      <c r="F57" s="55">
        <f t="shared" si="7"/>
        <v>0.33884210526315789</v>
      </c>
      <c r="G57" s="59">
        <f t="shared" si="8"/>
        <v>0.59602982292637463</v>
      </c>
      <c r="H57" s="60">
        <f t="shared" si="9"/>
        <v>220202.92840965517</v>
      </c>
    </row>
    <row r="58" spans="2:8" x14ac:dyDescent="0.3">
      <c r="B58" s="77" t="s">
        <v>21</v>
      </c>
      <c r="C58" s="61"/>
      <c r="D58" s="107">
        <f>+D59</f>
        <v>14</v>
      </c>
      <c r="E58" s="44">
        <f>+E59</f>
        <v>11860</v>
      </c>
      <c r="F58" s="51">
        <f t="shared" si="7"/>
        <v>0.2877015177065767</v>
      </c>
      <c r="G58" s="46">
        <f t="shared" si="8"/>
        <v>0.70197752729958329</v>
      </c>
      <c r="H58" s="65">
        <f>+G58*C58</f>
        <v>0</v>
      </c>
    </row>
    <row r="59" spans="2:8" x14ac:dyDescent="0.3">
      <c r="B59" s="76" t="s">
        <v>100</v>
      </c>
      <c r="C59" s="49">
        <v>60267.497718999999</v>
      </c>
      <c r="D59" s="50">
        <v>14</v>
      </c>
      <c r="E59" s="49">
        <v>11860</v>
      </c>
      <c r="F59" s="55">
        <f t="shared" si="7"/>
        <v>0.2877015177065767</v>
      </c>
      <c r="G59" s="59">
        <f t="shared" si="8"/>
        <v>0.70197752729958329</v>
      </c>
      <c r="H59" s="60">
        <f t="shared" ref="H59" si="10">+G59*C59</f>
        <v>42306.429025316895</v>
      </c>
    </row>
    <row r="60" spans="2:8" x14ac:dyDescent="0.3">
      <c r="B60" s="77" t="s">
        <v>22</v>
      </c>
      <c r="C60" s="61"/>
      <c r="D60" s="107">
        <f>+SUM(D61:D62)</f>
        <v>18</v>
      </c>
      <c r="E60" s="44">
        <f>SUMPRODUCT(D61:D62,E61:E62)/D60</f>
        <v>12074</v>
      </c>
      <c r="F60" s="51">
        <f t="shared" si="7"/>
        <v>0.28260228590359449</v>
      </c>
      <c r="G60" s="46">
        <f t="shared" si="8"/>
        <v>0.71464390089503949</v>
      </c>
      <c r="H60" s="65">
        <f>+G60*C60</f>
        <v>0</v>
      </c>
    </row>
    <row r="61" spans="2:8" x14ac:dyDescent="0.3">
      <c r="B61" s="76" t="s">
        <v>111</v>
      </c>
      <c r="C61" s="49">
        <v>50792.947500000002</v>
      </c>
      <c r="D61" s="50">
        <v>9</v>
      </c>
      <c r="E61" s="49">
        <v>12074</v>
      </c>
      <c r="F61" s="55">
        <f t="shared" si="7"/>
        <v>0.28260228590359449</v>
      </c>
      <c r="G61" s="59">
        <f t="shared" si="8"/>
        <v>0.71464390089503949</v>
      </c>
      <c r="H61" s="60">
        <f t="shared" ref="H61:H62" si="11">+G61*C61</f>
        <v>36298.870139356943</v>
      </c>
    </row>
    <row r="62" spans="2:8" x14ac:dyDescent="0.3">
      <c r="B62" s="76" t="s">
        <v>112</v>
      </c>
      <c r="C62" s="49">
        <v>52201.957000000002</v>
      </c>
      <c r="D62" s="50">
        <v>9</v>
      </c>
      <c r="E62" s="49">
        <v>12074</v>
      </c>
      <c r="F62" s="55">
        <f t="shared" si="7"/>
        <v>0.28260228590359449</v>
      </c>
      <c r="G62" s="59">
        <f t="shared" si="8"/>
        <v>0.71464390089503949</v>
      </c>
      <c r="H62" s="60">
        <f t="shared" si="11"/>
        <v>37305.810184835114</v>
      </c>
    </row>
    <row r="63" spans="2:8" x14ac:dyDescent="0.3">
      <c r="B63" s="77" t="s">
        <v>17</v>
      </c>
      <c r="C63" s="61"/>
      <c r="D63" s="107">
        <f>+SUM(D64:D65)</f>
        <v>44</v>
      </c>
      <c r="E63" s="44">
        <f>SUMPRODUCT(D64:D65,E64:E65)/D63</f>
        <v>11761</v>
      </c>
      <c r="F63" s="51">
        <f t="shared" si="7"/>
        <v>0.29012328883598332</v>
      </c>
      <c r="G63" s="46">
        <f t="shared" si="8"/>
        <v>0.69611784979514324</v>
      </c>
      <c r="H63" s="65">
        <f>+G63*C63</f>
        <v>0</v>
      </c>
    </row>
    <row r="64" spans="2:8" x14ac:dyDescent="0.3">
      <c r="B64" s="76" t="s">
        <v>85</v>
      </c>
      <c r="C64" s="49">
        <v>69552.787499999991</v>
      </c>
      <c r="D64" s="50">
        <v>22</v>
      </c>
      <c r="E64" s="49">
        <v>11850</v>
      </c>
      <c r="F64" s="55">
        <f t="shared" si="7"/>
        <v>0.28794430379746838</v>
      </c>
      <c r="G64" s="59">
        <f t="shared" si="8"/>
        <v>0.70138564068297304</v>
      </c>
      <c r="H64" s="60">
        <f t="shared" ref="H64:H65" si="12">+G64*C64</f>
        <v>48783.326421974176</v>
      </c>
    </row>
    <row r="65" spans="2:8" x14ac:dyDescent="0.3">
      <c r="B65" s="76" t="s">
        <v>86</v>
      </c>
      <c r="C65" s="49">
        <v>63985.62</v>
      </c>
      <c r="D65" s="50">
        <v>22</v>
      </c>
      <c r="E65" s="49">
        <v>11672</v>
      </c>
      <c r="F65" s="55">
        <f t="shared" si="7"/>
        <v>0.29233550376970524</v>
      </c>
      <c r="G65" s="59">
        <f t="shared" si="8"/>
        <v>0.69085005890731344</v>
      </c>
      <c r="H65" s="60">
        <f t="shared" si="12"/>
        <v>44204.469346220976</v>
      </c>
    </row>
    <row r="66" spans="2:8" x14ac:dyDescent="0.3">
      <c r="B66" s="77" t="s">
        <v>45</v>
      </c>
      <c r="C66" s="44">
        <v>441361.19300000003</v>
      </c>
      <c r="D66" s="107">
        <f>+SUM(D67:D74)</f>
        <v>116.6</v>
      </c>
      <c r="E66" s="44">
        <f>SUMPRODUCT(D67:D74,E67:E74)/D66</f>
        <v>11302.643567753001</v>
      </c>
      <c r="F66" s="51">
        <f t="shared" si="7"/>
        <v>0.30188866697831679</v>
      </c>
      <c r="G66" s="46">
        <f t="shared" si="8"/>
        <v>0.66898834600672774</v>
      </c>
      <c r="H66" s="101">
        <f>+G66*C66</f>
        <v>295265.49449662614</v>
      </c>
    </row>
    <row r="67" spans="2:8" x14ac:dyDescent="0.3">
      <c r="B67" s="76" t="s">
        <v>101</v>
      </c>
      <c r="C67" s="111"/>
      <c r="D67" s="50">
        <v>18.52</v>
      </c>
      <c r="E67" s="49">
        <v>12124</v>
      </c>
      <c r="F67" s="55">
        <f t="shared" si="7"/>
        <v>0.28143681953150773</v>
      </c>
      <c r="G67" s="59">
        <f t="shared" si="8"/>
        <v>0.71760333397809006</v>
      </c>
      <c r="H67" s="60">
        <f t="shared" ref="H67:H70" si="13">+G67*C67</f>
        <v>0</v>
      </c>
    </row>
    <row r="68" spans="2:8" x14ac:dyDescent="0.3">
      <c r="B68" s="76" t="s">
        <v>102</v>
      </c>
      <c r="C68" s="269"/>
      <c r="D68" s="50">
        <v>18.809999999999999</v>
      </c>
      <c r="E68" s="49">
        <v>12124</v>
      </c>
      <c r="F68" s="55">
        <f t="shared" si="7"/>
        <v>0.28143681953150773</v>
      </c>
      <c r="G68" s="59">
        <f t="shared" si="8"/>
        <v>0.71760333397809006</v>
      </c>
      <c r="H68" s="60">
        <f t="shared" si="13"/>
        <v>0</v>
      </c>
    </row>
    <row r="69" spans="2:8" x14ac:dyDescent="0.3">
      <c r="B69" s="76" t="s">
        <v>103</v>
      </c>
      <c r="C69" s="269"/>
      <c r="D69" s="50">
        <v>18.32</v>
      </c>
      <c r="E69" s="49">
        <v>12124</v>
      </c>
      <c r="F69" s="55">
        <f t="shared" si="7"/>
        <v>0.28143681953150773</v>
      </c>
      <c r="G69" s="59">
        <f t="shared" si="8"/>
        <v>0.71760333397809006</v>
      </c>
      <c r="H69" s="60">
        <f t="shared" si="13"/>
        <v>0</v>
      </c>
    </row>
    <row r="70" spans="2:8" x14ac:dyDescent="0.3">
      <c r="B70" s="76" t="s">
        <v>104</v>
      </c>
      <c r="C70" s="269"/>
      <c r="D70" s="48">
        <v>18.63</v>
      </c>
      <c r="E70" s="49">
        <v>12124</v>
      </c>
      <c r="F70" s="56">
        <f t="shared" si="7"/>
        <v>0.28143681953150773</v>
      </c>
      <c r="G70" s="59">
        <f t="shared" si="8"/>
        <v>0.71760333397809006</v>
      </c>
      <c r="H70" s="60">
        <f t="shared" si="13"/>
        <v>0</v>
      </c>
    </row>
    <row r="71" spans="2:8" x14ac:dyDescent="0.3">
      <c r="B71" s="76" t="s">
        <v>319</v>
      </c>
      <c r="C71" s="269"/>
      <c r="D71" s="48">
        <v>10.58</v>
      </c>
      <c r="E71" s="49">
        <v>9861</v>
      </c>
      <c r="F71" s="56">
        <f t="shared" si="7"/>
        <v>0.34602372984484331</v>
      </c>
      <c r="G71" s="59">
        <f t="shared" si="8"/>
        <v>0.58365939263922351</v>
      </c>
      <c r="H71" s="60">
        <f t="shared" ref="H71:H73" si="14">+G71*C71</f>
        <v>0</v>
      </c>
    </row>
    <row r="72" spans="2:8" x14ac:dyDescent="0.3">
      <c r="B72" s="76" t="s">
        <v>320</v>
      </c>
      <c r="C72" s="269"/>
      <c r="D72" s="48">
        <v>10.58</v>
      </c>
      <c r="E72" s="49">
        <v>9861</v>
      </c>
      <c r="F72" s="56">
        <f t="shared" si="7"/>
        <v>0.34602372984484331</v>
      </c>
      <c r="G72" s="59">
        <f t="shared" si="8"/>
        <v>0.58365939263922351</v>
      </c>
      <c r="H72" s="60">
        <f t="shared" si="14"/>
        <v>0</v>
      </c>
    </row>
    <row r="73" spans="2:8" x14ac:dyDescent="0.3">
      <c r="B73" s="76" t="s">
        <v>321</v>
      </c>
      <c r="C73" s="269"/>
      <c r="D73" s="48">
        <v>10.58</v>
      </c>
      <c r="E73" s="49">
        <v>9861</v>
      </c>
      <c r="F73" s="56">
        <f t="shared" si="7"/>
        <v>0.34602372984484331</v>
      </c>
      <c r="G73" s="59">
        <f t="shared" si="8"/>
        <v>0.58365939263922351</v>
      </c>
      <c r="H73" s="60">
        <f t="shared" si="14"/>
        <v>0</v>
      </c>
    </row>
    <row r="74" spans="2:8" x14ac:dyDescent="0.3">
      <c r="B74" s="76" t="s">
        <v>322</v>
      </c>
      <c r="C74" s="53"/>
      <c r="D74" s="48">
        <v>10.58</v>
      </c>
      <c r="E74" s="49">
        <v>9861</v>
      </c>
      <c r="F74" s="56">
        <f t="shared" si="7"/>
        <v>0.34602372984484331</v>
      </c>
      <c r="G74" s="59">
        <f t="shared" si="8"/>
        <v>0.58365939263922351</v>
      </c>
      <c r="H74" s="60">
        <f t="shared" ref="H74" si="15">+G74*C74</f>
        <v>0</v>
      </c>
    </row>
    <row r="75" spans="2:8" x14ac:dyDescent="0.3">
      <c r="B75" s="13"/>
      <c r="C75" s="4"/>
      <c r="D75" s="4"/>
      <c r="E75" s="4"/>
      <c r="F75" s="4"/>
      <c r="G75" s="4"/>
    </row>
    <row r="76" spans="2:8" ht="28.8" x14ac:dyDescent="0.3">
      <c r="B76" s="84" t="s">
        <v>164</v>
      </c>
      <c r="C76" s="79" t="s">
        <v>197</v>
      </c>
      <c r="D76" s="99"/>
      <c r="E76" s="99"/>
      <c r="F76" s="4"/>
      <c r="G76" s="99"/>
      <c r="H76" s="9"/>
    </row>
    <row r="77" spans="2:8" x14ac:dyDescent="0.3">
      <c r="B77" s="82" t="s">
        <v>0</v>
      </c>
      <c r="C77" s="83">
        <f>SUM(C78:C140)</f>
        <v>2322084.4652733332</v>
      </c>
      <c r="D77" s="31"/>
      <c r="E77" s="31"/>
      <c r="F77" s="9"/>
      <c r="G77" s="31"/>
      <c r="H77" s="9"/>
    </row>
    <row r="78" spans="2:8" x14ac:dyDescent="0.3">
      <c r="B78" s="57" t="s">
        <v>26</v>
      </c>
      <c r="C78" s="78"/>
      <c r="D78" s="30"/>
      <c r="E78" s="30"/>
      <c r="F78" s="4"/>
      <c r="G78" s="30"/>
      <c r="H78" s="9"/>
    </row>
    <row r="79" spans="2:8" x14ac:dyDescent="0.3">
      <c r="B79" s="47" t="s">
        <v>142</v>
      </c>
      <c r="C79" s="49">
        <v>10232.768999999998</v>
      </c>
      <c r="D79" s="30"/>
      <c r="E79" s="30"/>
      <c r="F79" s="4"/>
      <c r="G79" s="30"/>
      <c r="H79" s="9"/>
    </row>
    <row r="80" spans="2:8" x14ac:dyDescent="0.3">
      <c r="B80" s="47" t="s">
        <v>143</v>
      </c>
      <c r="C80" s="49">
        <v>4981.5259999999998</v>
      </c>
      <c r="D80" s="30"/>
      <c r="E80" s="30"/>
      <c r="F80" s="4"/>
      <c r="G80" s="30"/>
      <c r="H80" s="9"/>
    </row>
    <row r="81" spans="2:8" x14ac:dyDescent="0.3">
      <c r="B81" s="47" t="s">
        <v>144</v>
      </c>
      <c r="C81" s="49">
        <v>7386.07</v>
      </c>
      <c r="D81" s="30"/>
      <c r="E81" s="30"/>
      <c r="F81" s="4"/>
      <c r="G81" s="30"/>
      <c r="H81" s="9"/>
    </row>
    <row r="82" spans="2:8" x14ac:dyDescent="0.3">
      <c r="B82" s="57" t="s">
        <v>27</v>
      </c>
      <c r="C82" s="78"/>
      <c r="D82" s="30"/>
      <c r="E82" s="30"/>
      <c r="F82" s="4"/>
      <c r="G82" s="30"/>
      <c r="H82" s="9"/>
    </row>
    <row r="83" spans="2:8" x14ac:dyDescent="0.3">
      <c r="B83" s="47" t="s">
        <v>125</v>
      </c>
      <c r="C83" s="49">
        <v>8717.6899999999987</v>
      </c>
      <c r="D83" s="30"/>
      <c r="E83" s="30"/>
      <c r="F83" s="4"/>
      <c r="G83" s="30"/>
      <c r="H83" s="9"/>
    </row>
    <row r="84" spans="2:8" x14ac:dyDescent="0.3">
      <c r="B84" s="47" t="s">
        <v>126</v>
      </c>
      <c r="C84" s="49">
        <v>7359.0120000000006</v>
      </c>
      <c r="D84" s="30"/>
      <c r="E84" s="30"/>
      <c r="F84" s="4"/>
      <c r="G84" s="30"/>
      <c r="H84" s="9"/>
    </row>
    <row r="85" spans="2:8" x14ac:dyDescent="0.3">
      <c r="B85" s="47" t="s">
        <v>127</v>
      </c>
      <c r="C85" s="49">
        <v>22706.515999999996</v>
      </c>
      <c r="D85" s="30"/>
      <c r="E85" s="30"/>
      <c r="F85" s="4"/>
      <c r="G85" s="30"/>
      <c r="H85" s="9"/>
    </row>
    <row r="86" spans="2:8" x14ac:dyDescent="0.3">
      <c r="B86" s="57" t="s">
        <v>28</v>
      </c>
      <c r="C86" s="78"/>
      <c r="D86" s="30"/>
      <c r="E86" s="30"/>
      <c r="F86" s="4"/>
      <c r="G86" s="30"/>
      <c r="H86" s="9"/>
    </row>
    <row r="87" spans="2:8" x14ac:dyDescent="0.3">
      <c r="B87" s="47" t="s">
        <v>156</v>
      </c>
      <c r="C87" s="49">
        <v>51281.207999999999</v>
      </c>
      <c r="D87" s="30"/>
      <c r="E87" s="30"/>
      <c r="F87" s="4"/>
      <c r="G87" s="30"/>
      <c r="H87" s="9"/>
    </row>
    <row r="88" spans="2:8" x14ac:dyDescent="0.3">
      <c r="B88" s="47" t="s">
        <v>157</v>
      </c>
      <c r="C88" s="49">
        <v>83285.340000000011</v>
      </c>
      <c r="D88" s="30"/>
      <c r="E88" s="30"/>
      <c r="F88" s="4"/>
      <c r="G88" s="30"/>
      <c r="H88" s="9"/>
    </row>
    <row r="89" spans="2:8" x14ac:dyDescent="0.3">
      <c r="B89" s="57" t="s">
        <v>32</v>
      </c>
      <c r="C89" s="78"/>
      <c r="D89" s="30"/>
      <c r="E89" s="30"/>
      <c r="F89" s="4"/>
      <c r="G89" s="30"/>
      <c r="H89" s="9"/>
    </row>
    <row r="90" spans="2:8" x14ac:dyDescent="0.3">
      <c r="B90" s="47" t="s">
        <v>148</v>
      </c>
      <c r="C90" s="49">
        <v>43164.040999999997</v>
      </c>
      <c r="D90" s="30"/>
      <c r="E90" s="30"/>
      <c r="F90" s="4"/>
      <c r="G90" s="30"/>
      <c r="H90" s="9"/>
    </row>
    <row r="91" spans="2:8" x14ac:dyDescent="0.3">
      <c r="B91" s="57" t="s">
        <v>29</v>
      </c>
      <c r="C91" s="78"/>
      <c r="D91" s="30"/>
      <c r="E91" s="30"/>
      <c r="F91" s="4"/>
      <c r="G91" s="30"/>
      <c r="H91" s="9"/>
    </row>
    <row r="92" spans="2:8" x14ac:dyDescent="0.3">
      <c r="B92" s="47" t="s">
        <v>149</v>
      </c>
      <c r="C92" s="49">
        <v>5549.0742733333336</v>
      </c>
      <c r="D92" s="30"/>
      <c r="E92" s="30"/>
      <c r="F92" s="4"/>
      <c r="G92" s="30"/>
      <c r="H92" s="9"/>
    </row>
    <row r="93" spans="2:8" x14ac:dyDescent="0.3">
      <c r="B93" s="47" t="s">
        <v>173</v>
      </c>
      <c r="C93" s="49">
        <v>135330.64200000002</v>
      </c>
      <c r="D93" s="30"/>
      <c r="E93" s="30"/>
      <c r="F93" s="4"/>
      <c r="G93" s="30"/>
      <c r="H93" s="9"/>
    </row>
    <row r="94" spans="2:8" x14ac:dyDescent="0.3">
      <c r="B94" s="57" t="s">
        <v>30</v>
      </c>
      <c r="C94" s="78"/>
      <c r="D94" s="30"/>
      <c r="E94" s="30"/>
      <c r="F94" s="4"/>
      <c r="G94" s="30"/>
      <c r="H94" s="9"/>
    </row>
    <row r="95" spans="2:8" x14ac:dyDescent="0.3">
      <c r="B95" s="47" t="s">
        <v>145</v>
      </c>
      <c r="C95" s="49">
        <v>12408.229999999998</v>
      </c>
      <c r="D95" s="30"/>
      <c r="E95" s="30"/>
      <c r="F95" s="4"/>
      <c r="G95" s="30"/>
      <c r="H95" s="9"/>
    </row>
    <row r="96" spans="2:8" x14ac:dyDescent="0.3">
      <c r="B96" s="47" t="s">
        <v>146</v>
      </c>
      <c r="C96" s="49">
        <v>15012.157999999999</v>
      </c>
      <c r="D96" s="30"/>
      <c r="E96" s="30"/>
      <c r="F96" s="4"/>
      <c r="G96" s="30"/>
      <c r="H96" s="9"/>
    </row>
    <row r="97" spans="2:8" x14ac:dyDescent="0.3">
      <c r="B97" s="47" t="s">
        <v>147</v>
      </c>
      <c r="C97" s="49">
        <v>12088.935999999998</v>
      </c>
      <c r="D97" s="30"/>
      <c r="E97" s="30"/>
      <c r="F97" s="4"/>
      <c r="G97" s="30"/>
      <c r="H97" s="9"/>
    </row>
    <row r="98" spans="2:8" x14ac:dyDescent="0.3">
      <c r="B98" s="57" t="s">
        <v>31</v>
      </c>
      <c r="C98" s="78"/>
      <c r="D98" s="30"/>
      <c r="E98" s="30"/>
      <c r="F98" s="4"/>
      <c r="G98" s="30"/>
      <c r="H98" s="9"/>
    </row>
    <row r="99" spans="2:8" x14ac:dyDescent="0.3">
      <c r="B99" s="47" t="s">
        <v>136</v>
      </c>
      <c r="C99" s="49">
        <v>69551.442999999999</v>
      </c>
      <c r="D99" s="30"/>
      <c r="E99" s="30"/>
      <c r="F99" s="4"/>
      <c r="G99" s="30"/>
      <c r="H99" s="9"/>
    </row>
    <row r="100" spans="2:8" x14ac:dyDescent="0.3">
      <c r="B100" s="47" t="s">
        <v>137</v>
      </c>
      <c r="C100" s="49">
        <v>64736.137999999999</v>
      </c>
      <c r="D100" s="30"/>
      <c r="E100" s="30"/>
      <c r="F100" s="4"/>
      <c r="G100" s="30"/>
      <c r="H100" s="9"/>
    </row>
    <row r="101" spans="2:8" x14ac:dyDescent="0.3">
      <c r="B101" s="57" t="s">
        <v>3</v>
      </c>
      <c r="C101" s="78"/>
      <c r="D101" s="30"/>
      <c r="E101" s="30"/>
      <c r="F101" s="4"/>
      <c r="G101" s="30"/>
      <c r="H101" s="9"/>
    </row>
    <row r="102" spans="2:8" x14ac:dyDescent="0.3">
      <c r="B102" s="47" t="s">
        <v>121</v>
      </c>
      <c r="C102" s="49">
        <v>325459.11999999994</v>
      </c>
      <c r="D102" s="30"/>
      <c r="E102" s="30"/>
      <c r="F102" s="4"/>
      <c r="G102" s="30"/>
      <c r="H102" s="9"/>
    </row>
    <row r="103" spans="2:8" x14ac:dyDescent="0.3">
      <c r="B103" s="57" t="s">
        <v>33</v>
      </c>
      <c r="C103" s="78"/>
      <c r="D103" s="30"/>
      <c r="E103" s="30"/>
      <c r="F103" s="4"/>
      <c r="G103" s="30"/>
      <c r="H103" s="9"/>
    </row>
    <row r="104" spans="2:8" x14ac:dyDescent="0.3">
      <c r="B104" s="47" t="s">
        <v>128</v>
      </c>
      <c r="C104" s="49">
        <v>9415.1349999999984</v>
      </c>
      <c r="D104" s="30"/>
      <c r="E104" s="30"/>
      <c r="F104" s="4"/>
      <c r="G104" s="30"/>
      <c r="H104" s="9"/>
    </row>
    <row r="105" spans="2:8" x14ac:dyDescent="0.3">
      <c r="B105" s="47" t="s">
        <v>129</v>
      </c>
      <c r="C105" s="49">
        <v>8698.5240000000013</v>
      </c>
      <c r="D105" s="30"/>
      <c r="E105" s="30"/>
      <c r="F105" s="4"/>
      <c r="G105" s="30"/>
      <c r="H105" s="9"/>
    </row>
    <row r="106" spans="2:8" x14ac:dyDescent="0.3">
      <c r="B106" s="47" t="s">
        <v>130</v>
      </c>
      <c r="C106" s="49">
        <v>8820.1739999999991</v>
      </c>
      <c r="D106" s="30"/>
      <c r="E106" s="30"/>
      <c r="F106" s="4"/>
      <c r="G106" s="30"/>
      <c r="H106" s="9"/>
    </row>
    <row r="107" spans="2:8" x14ac:dyDescent="0.3">
      <c r="B107" s="47" t="s">
        <v>131</v>
      </c>
      <c r="C107" s="49">
        <v>6336.6400000000012</v>
      </c>
      <c r="D107" s="30"/>
      <c r="E107" s="30"/>
      <c r="F107" s="4"/>
      <c r="G107" s="30"/>
      <c r="H107" s="9"/>
    </row>
    <row r="108" spans="2:8" x14ac:dyDescent="0.3">
      <c r="B108" s="47" t="s">
        <v>132</v>
      </c>
      <c r="C108" s="49">
        <v>92591.819999999992</v>
      </c>
      <c r="D108" s="30"/>
      <c r="E108" s="30"/>
      <c r="F108" s="4"/>
      <c r="G108" s="30"/>
      <c r="H108" s="9"/>
    </row>
    <row r="109" spans="2:8" x14ac:dyDescent="0.3">
      <c r="B109" s="57" t="s">
        <v>34</v>
      </c>
      <c r="C109" s="78"/>
      <c r="D109" s="30"/>
      <c r="E109" s="30"/>
      <c r="F109" s="4"/>
      <c r="G109" s="30"/>
      <c r="H109" s="9"/>
    </row>
    <row r="110" spans="2:8" x14ac:dyDescent="0.3">
      <c r="B110" s="47" t="s">
        <v>138</v>
      </c>
      <c r="C110" s="49">
        <v>78452.136999999988</v>
      </c>
      <c r="D110" s="30"/>
      <c r="E110" s="30"/>
      <c r="F110" s="4"/>
      <c r="G110" s="30"/>
      <c r="H110" s="9"/>
    </row>
    <row r="111" spans="2:8" x14ac:dyDescent="0.3">
      <c r="B111" s="47" t="s">
        <v>139</v>
      </c>
      <c r="C111" s="49">
        <v>73415.542000000016</v>
      </c>
      <c r="D111" s="30"/>
      <c r="E111" s="30"/>
      <c r="F111" s="4"/>
      <c r="G111" s="30"/>
      <c r="H111" s="9"/>
    </row>
    <row r="112" spans="2:8" x14ac:dyDescent="0.3">
      <c r="B112" s="57" t="s">
        <v>35</v>
      </c>
      <c r="C112" s="78"/>
      <c r="D112" s="30"/>
      <c r="E112" s="30"/>
      <c r="F112" s="4"/>
      <c r="G112" s="30"/>
      <c r="H112" s="9"/>
    </row>
    <row r="113" spans="2:8" x14ac:dyDescent="0.3">
      <c r="B113" s="47" t="s">
        <v>158</v>
      </c>
      <c r="C113" s="49">
        <v>95119.72</v>
      </c>
      <c r="D113" s="30"/>
      <c r="E113" s="30"/>
      <c r="F113" s="4"/>
      <c r="G113" s="30"/>
      <c r="H113" s="9"/>
    </row>
    <row r="114" spans="2:8" x14ac:dyDescent="0.3">
      <c r="B114" s="47" t="s">
        <v>159</v>
      </c>
      <c r="C114" s="49">
        <v>94138.09</v>
      </c>
      <c r="D114" s="30"/>
      <c r="E114" s="30"/>
      <c r="F114" s="4"/>
      <c r="G114" s="30"/>
      <c r="H114" s="9"/>
    </row>
    <row r="115" spans="2:8" x14ac:dyDescent="0.3">
      <c r="B115" s="57" t="s">
        <v>4</v>
      </c>
      <c r="C115" s="78"/>
      <c r="D115" s="30"/>
      <c r="E115" s="30"/>
      <c r="F115" s="4"/>
      <c r="G115" s="30"/>
      <c r="H115" s="9"/>
    </row>
    <row r="116" spans="2:8" x14ac:dyDescent="0.3">
      <c r="B116" s="47" t="s">
        <v>151</v>
      </c>
      <c r="C116" s="49">
        <v>20815.78</v>
      </c>
      <c r="D116" s="30"/>
      <c r="E116" s="30"/>
      <c r="F116" s="4"/>
      <c r="G116" s="30"/>
      <c r="H116" s="9"/>
    </row>
    <row r="117" spans="2:8" x14ac:dyDescent="0.3">
      <c r="B117" s="57" t="s">
        <v>36</v>
      </c>
      <c r="C117" s="78"/>
      <c r="D117" s="30"/>
      <c r="E117" s="30"/>
      <c r="F117" s="4"/>
      <c r="G117" s="30"/>
      <c r="H117" s="9"/>
    </row>
    <row r="118" spans="2:8" x14ac:dyDescent="0.3">
      <c r="B118" s="47" t="s">
        <v>152</v>
      </c>
      <c r="C118" s="49">
        <v>41587.581999999995</v>
      </c>
      <c r="D118" s="30"/>
      <c r="E118" s="30"/>
      <c r="F118" s="4"/>
      <c r="G118" s="30"/>
      <c r="H118" s="9"/>
    </row>
    <row r="119" spans="2:8" x14ac:dyDescent="0.3">
      <c r="B119" s="57" t="s">
        <v>37</v>
      </c>
      <c r="C119" s="78"/>
      <c r="D119" s="30"/>
      <c r="E119" s="30"/>
      <c r="F119" s="4"/>
      <c r="G119" s="30"/>
      <c r="H119" s="9"/>
    </row>
    <row r="120" spans="2:8" x14ac:dyDescent="0.3">
      <c r="B120" s="47" t="s">
        <v>153</v>
      </c>
      <c r="C120" s="49">
        <v>17535.357</v>
      </c>
      <c r="D120" s="30"/>
      <c r="E120" s="30"/>
      <c r="F120" s="4"/>
      <c r="G120" s="30"/>
      <c r="H120" s="9"/>
    </row>
    <row r="121" spans="2:8" x14ac:dyDescent="0.3">
      <c r="B121" s="57" t="s">
        <v>38</v>
      </c>
      <c r="C121" s="78"/>
      <c r="D121" s="30"/>
      <c r="E121" s="30"/>
      <c r="F121" s="4"/>
      <c r="G121" s="30"/>
      <c r="H121" s="9"/>
    </row>
    <row r="122" spans="2:8" x14ac:dyDescent="0.3">
      <c r="B122" s="47" t="s">
        <v>140</v>
      </c>
      <c r="C122" s="49">
        <v>4812.643</v>
      </c>
      <c r="D122" s="30"/>
      <c r="E122" s="30"/>
      <c r="F122" s="4"/>
      <c r="G122" s="30"/>
      <c r="H122" s="9"/>
    </row>
    <row r="123" spans="2:8" x14ac:dyDescent="0.3">
      <c r="B123" s="47" t="s">
        <v>141</v>
      </c>
      <c r="C123" s="49">
        <v>4781.6249999999973</v>
      </c>
      <c r="D123" s="30"/>
      <c r="E123" s="30"/>
      <c r="F123" s="4"/>
      <c r="G123" s="30"/>
      <c r="H123" s="9"/>
    </row>
    <row r="124" spans="2:8" x14ac:dyDescent="0.3">
      <c r="B124" s="57" t="s">
        <v>39</v>
      </c>
      <c r="C124" s="78"/>
      <c r="D124" s="30"/>
      <c r="E124" s="30"/>
      <c r="F124" s="4"/>
      <c r="G124" s="30"/>
      <c r="H124" s="9"/>
    </row>
    <row r="125" spans="2:8" x14ac:dyDescent="0.3">
      <c r="B125" s="47" t="s">
        <v>154</v>
      </c>
      <c r="C125" s="49">
        <v>18585.001000000004</v>
      </c>
      <c r="D125" s="30"/>
      <c r="E125" s="30"/>
      <c r="F125" s="4"/>
      <c r="G125" s="30"/>
      <c r="H125" s="9"/>
    </row>
    <row r="126" spans="2:8" x14ac:dyDescent="0.3">
      <c r="B126" s="57" t="s">
        <v>5</v>
      </c>
      <c r="C126" s="78"/>
      <c r="D126" s="30"/>
      <c r="E126" s="30"/>
      <c r="F126" s="4"/>
      <c r="G126" s="30"/>
      <c r="H126" s="9"/>
    </row>
    <row r="127" spans="2:8" x14ac:dyDescent="0.3">
      <c r="B127" s="47" t="s">
        <v>155</v>
      </c>
      <c r="C127" s="49">
        <v>6492.8999999999987</v>
      </c>
      <c r="D127" s="30"/>
      <c r="E127" s="30"/>
      <c r="F127" s="4"/>
      <c r="G127" s="30"/>
      <c r="H127" s="9"/>
    </row>
    <row r="128" spans="2:8" x14ac:dyDescent="0.3">
      <c r="B128" s="57" t="s">
        <v>40</v>
      </c>
      <c r="C128" s="78"/>
      <c r="D128" s="30"/>
      <c r="E128" s="30"/>
      <c r="F128" s="4"/>
      <c r="G128" s="30"/>
      <c r="H128" s="9"/>
    </row>
    <row r="129" spans="2:8" x14ac:dyDescent="0.3">
      <c r="B129" s="47" t="s">
        <v>135</v>
      </c>
      <c r="C129" s="49">
        <v>68123.947000000015</v>
      </c>
      <c r="D129" s="30"/>
      <c r="E129" s="30"/>
      <c r="F129" s="4"/>
      <c r="G129" s="30"/>
      <c r="H129" s="9"/>
    </row>
    <row r="130" spans="2:8" x14ac:dyDescent="0.3">
      <c r="B130" s="57" t="s">
        <v>2</v>
      </c>
      <c r="C130" s="78"/>
      <c r="D130" s="30"/>
      <c r="E130" s="30"/>
      <c r="F130" s="4"/>
      <c r="G130" s="30"/>
      <c r="H130" s="9"/>
    </row>
    <row r="131" spans="2:8" x14ac:dyDescent="0.3">
      <c r="B131" s="47" t="s">
        <v>122</v>
      </c>
      <c r="C131" s="49">
        <v>485267.32000000007</v>
      </c>
      <c r="D131" s="30"/>
      <c r="E131" s="30"/>
      <c r="F131" s="4"/>
      <c r="G131" s="30"/>
      <c r="H131" s="9"/>
    </row>
    <row r="132" spans="2:8" x14ac:dyDescent="0.3">
      <c r="B132" s="57" t="s">
        <v>42</v>
      </c>
      <c r="C132" s="78"/>
      <c r="D132" s="30"/>
      <c r="E132" s="30"/>
      <c r="F132" s="4"/>
      <c r="G132" s="30"/>
      <c r="H132" s="9"/>
    </row>
    <row r="133" spans="2:8" x14ac:dyDescent="0.3">
      <c r="B133" s="47" t="s">
        <v>133</v>
      </c>
      <c r="C133" s="49">
        <v>32300.107999999997</v>
      </c>
      <c r="D133" s="30"/>
      <c r="E133" s="30"/>
      <c r="F133" s="4"/>
      <c r="G133" s="30"/>
      <c r="H133" s="9"/>
    </row>
    <row r="134" spans="2:8" x14ac:dyDescent="0.3">
      <c r="B134" s="47" t="s">
        <v>134</v>
      </c>
      <c r="C134" s="49">
        <v>43194.46</v>
      </c>
      <c r="D134" s="30"/>
      <c r="E134" s="30"/>
      <c r="F134" s="4"/>
      <c r="G134" s="30"/>
      <c r="H134" s="9"/>
    </row>
    <row r="135" spans="2:8" x14ac:dyDescent="0.3">
      <c r="B135" s="57" t="s">
        <v>43</v>
      </c>
      <c r="C135" s="78"/>
      <c r="D135" s="30"/>
      <c r="E135" s="30"/>
      <c r="F135" s="4"/>
      <c r="G135" s="30"/>
      <c r="H135" s="9"/>
    </row>
    <row r="136" spans="2:8" x14ac:dyDescent="0.3">
      <c r="B136" s="47" t="s">
        <v>124</v>
      </c>
      <c r="C136" s="49">
        <v>12913.739999999998</v>
      </c>
      <c r="D136" s="30"/>
      <c r="E136" s="30"/>
      <c r="F136" s="4"/>
      <c r="G136" s="30"/>
      <c r="H136" s="9"/>
    </row>
    <row r="137" spans="2:8" x14ac:dyDescent="0.3">
      <c r="B137" s="57" t="s">
        <v>46</v>
      </c>
      <c r="C137" s="78"/>
      <c r="D137" s="30"/>
      <c r="E137" s="30"/>
      <c r="F137" s="4"/>
      <c r="G137" s="30"/>
      <c r="H137" s="9"/>
    </row>
    <row r="138" spans="2:8" x14ac:dyDescent="0.3">
      <c r="B138" s="47" t="s">
        <v>150</v>
      </c>
      <c r="C138" s="49">
        <v>209706.07100000003</v>
      </c>
      <c r="D138" s="30"/>
      <c r="E138" s="30"/>
      <c r="F138" s="4"/>
      <c r="G138" s="30"/>
      <c r="H138" s="9"/>
    </row>
    <row r="139" spans="2:8" x14ac:dyDescent="0.3">
      <c r="B139" s="57" t="s">
        <v>1</v>
      </c>
      <c r="C139" s="78"/>
      <c r="D139" s="30"/>
      <c r="E139" s="30"/>
      <c r="F139" s="4"/>
      <c r="G139" s="30"/>
      <c r="H139" s="9"/>
    </row>
    <row r="140" spans="2:8" x14ac:dyDescent="0.3">
      <c r="B140" s="47" t="s">
        <v>123</v>
      </c>
      <c r="C140" s="49">
        <v>9730.2360000000008</v>
      </c>
      <c r="D140" s="30"/>
      <c r="E140" s="30"/>
      <c r="F140" s="4"/>
      <c r="G140" s="30"/>
      <c r="H140" s="9"/>
    </row>
    <row r="141" spans="2:8" x14ac:dyDescent="0.3">
      <c r="F141" s="9"/>
    </row>
    <row r="142" spans="2:8" ht="28.8" x14ac:dyDescent="0.3">
      <c r="B142" s="84" t="s">
        <v>164</v>
      </c>
      <c r="C142" s="79" t="s">
        <v>165</v>
      </c>
      <c r="D142" s="99"/>
      <c r="E142" s="99"/>
      <c r="F142" s="4"/>
    </row>
    <row r="143" spans="2:8" x14ac:dyDescent="0.3">
      <c r="B143" s="7" t="s">
        <v>12</v>
      </c>
      <c r="C143" s="85">
        <f>+SUM(C144:C145)</f>
        <v>64494.2</v>
      </c>
      <c r="D143" s="31"/>
      <c r="E143" s="31"/>
      <c r="F143" s="14"/>
    </row>
    <row r="144" spans="2:8" x14ac:dyDescent="0.3">
      <c r="B144" s="57" t="s">
        <v>13</v>
      </c>
      <c r="C144" s="78"/>
      <c r="D144" s="30"/>
      <c r="E144" s="30"/>
      <c r="F144" s="4"/>
    </row>
    <row r="145" spans="2:3" x14ac:dyDescent="0.3">
      <c r="B145" s="47" t="s">
        <v>191</v>
      </c>
      <c r="C145" s="49">
        <v>64494.2</v>
      </c>
    </row>
  </sheetData>
  <pageMargins left="0.7" right="0.7" top="0.75" bottom="0.75" header="0.3" footer="0.3"/>
  <pageSetup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3:J140"/>
  <sheetViews>
    <sheetView zoomScaleNormal="100" workbookViewId="0"/>
  </sheetViews>
  <sheetFormatPr baseColWidth="10" defaultColWidth="9.109375" defaultRowHeight="14.4" x14ac:dyDescent="0.3"/>
  <cols>
    <col min="1" max="1" width="9.109375" style="1"/>
    <col min="2" max="2" width="41.6640625" style="1" customWidth="1"/>
    <col min="3" max="3" width="19.44140625" style="1" customWidth="1"/>
    <col min="4" max="5" width="11.109375" style="1" customWidth="1"/>
    <col min="6" max="6" width="14.44140625" style="1" customWidth="1"/>
    <col min="7" max="7" width="15.33203125" style="1" customWidth="1"/>
    <col min="8" max="8" width="16.88671875" style="1" customWidth="1"/>
    <col min="9" max="16384" width="9.109375" style="1"/>
  </cols>
  <sheetData>
    <row r="3" spans="2:10" ht="23.4" x14ac:dyDescent="0.45">
      <c r="B3" s="286" t="s">
        <v>356</v>
      </c>
      <c r="D3" s="286">
        <v>2011</v>
      </c>
    </row>
    <row r="4" spans="2:10" x14ac:dyDescent="0.3">
      <c r="G4" s="9"/>
      <c r="H4" s="9"/>
      <c r="I4" s="9"/>
      <c r="J4" s="9"/>
    </row>
    <row r="5" spans="2:10" x14ac:dyDescent="0.3">
      <c r="G5" s="9"/>
      <c r="H5" s="9"/>
      <c r="I5" s="9"/>
      <c r="J5" s="9"/>
    </row>
    <row r="6" spans="2:10" x14ac:dyDescent="0.3">
      <c r="B6" s="86" t="s">
        <v>160</v>
      </c>
      <c r="C6" s="87">
        <f>+C7+C9</f>
        <v>6592941.5332300002</v>
      </c>
      <c r="D6" s="32"/>
      <c r="E6" s="32"/>
      <c r="F6" s="32"/>
      <c r="G6" s="32"/>
      <c r="H6" s="9"/>
      <c r="I6" s="9"/>
      <c r="J6" s="9"/>
    </row>
    <row r="7" spans="2:10" x14ac:dyDescent="0.3">
      <c r="B7" s="88" t="s">
        <v>161</v>
      </c>
      <c r="C7" s="90">
        <f>+C72+C138</f>
        <v>2388145.9836729998</v>
      </c>
      <c r="D7" s="98"/>
      <c r="E7" s="98"/>
      <c r="F7" s="98"/>
      <c r="G7" s="32"/>
      <c r="H7" s="9"/>
      <c r="I7" s="9"/>
      <c r="J7" s="9"/>
    </row>
    <row r="8" spans="2:10" x14ac:dyDescent="0.3">
      <c r="B8" s="88" t="s">
        <v>76</v>
      </c>
      <c r="C8" s="91">
        <f>+C7/C6</f>
        <v>0.36222769027090163</v>
      </c>
      <c r="D8" s="94"/>
      <c r="E8" s="94"/>
      <c r="F8" s="94"/>
      <c r="G8" s="32"/>
      <c r="H8" s="9"/>
      <c r="I8" s="9"/>
      <c r="J8" s="9"/>
    </row>
    <row r="9" spans="2:10" x14ac:dyDescent="0.3">
      <c r="B9" s="88" t="s">
        <v>162</v>
      </c>
      <c r="C9" s="90">
        <f>+C22</f>
        <v>4204795.5495570004</v>
      </c>
      <c r="D9" s="98"/>
      <c r="E9" s="98"/>
      <c r="F9" s="98"/>
      <c r="G9" s="32"/>
      <c r="H9" s="9"/>
      <c r="I9" s="9"/>
      <c r="J9" s="9"/>
    </row>
    <row r="10" spans="2:10" x14ac:dyDescent="0.3">
      <c r="B10" s="89" t="s">
        <v>77</v>
      </c>
      <c r="C10" s="92">
        <f>+C9/C6</f>
        <v>0.63777230972909837</v>
      </c>
      <c r="D10" s="94"/>
      <c r="E10" s="94"/>
      <c r="F10" s="94"/>
      <c r="G10" s="33"/>
      <c r="H10" s="9"/>
      <c r="I10" s="9"/>
      <c r="J10" s="9"/>
    </row>
    <row r="11" spans="2:10" x14ac:dyDescent="0.3">
      <c r="B11" s="93"/>
      <c r="C11" s="94"/>
      <c r="D11" s="94"/>
      <c r="E11" s="94"/>
      <c r="F11" s="94"/>
      <c r="G11" s="33"/>
      <c r="H11" s="9"/>
      <c r="I11" s="9"/>
      <c r="J11" s="9"/>
    </row>
    <row r="12" spans="2:10" x14ac:dyDescent="0.3">
      <c r="B12" s="86" t="s">
        <v>273</v>
      </c>
      <c r="C12" s="174"/>
      <c r="D12" s="94"/>
      <c r="E12" s="94"/>
      <c r="F12" s="94"/>
      <c r="G12" s="33"/>
      <c r="H12" s="9"/>
      <c r="I12" s="9"/>
      <c r="J12" s="9"/>
    </row>
    <row r="13" spans="2:10" x14ac:dyDescent="0.3">
      <c r="B13" s="178" t="s">
        <v>115</v>
      </c>
      <c r="C13" s="175">
        <v>3412.14</v>
      </c>
      <c r="D13" s="94"/>
      <c r="E13" s="94"/>
      <c r="F13" s="94"/>
      <c r="G13" s="33"/>
      <c r="H13" s="9"/>
      <c r="I13" s="9"/>
      <c r="J13" s="9"/>
    </row>
    <row r="14" spans="2:10" ht="15.6" x14ac:dyDescent="0.3">
      <c r="B14" s="178" t="s">
        <v>272</v>
      </c>
      <c r="C14" s="176">
        <v>5.6099999999999997E-2</v>
      </c>
      <c r="D14" s="94"/>
      <c r="E14" s="94"/>
      <c r="F14" s="94"/>
      <c r="G14" s="33"/>
      <c r="H14" s="9"/>
      <c r="I14" s="9"/>
      <c r="J14" s="9"/>
    </row>
    <row r="15" spans="2:10" ht="14.25" customHeight="1" x14ac:dyDescent="0.3">
      <c r="B15" s="179" t="s">
        <v>116</v>
      </c>
      <c r="C15" s="177">
        <v>3.6</v>
      </c>
      <c r="D15" s="94"/>
      <c r="E15" s="94"/>
      <c r="F15" s="94"/>
      <c r="G15" s="33"/>
      <c r="H15" s="9"/>
      <c r="I15" s="9"/>
      <c r="J15" s="9"/>
    </row>
    <row r="16" spans="2:10" ht="15" thickBot="1" x14ac:dyDescent="0.35">
      <c r="B16" s="93"/>
      <c r="C16" s="94"/>
      <c r="D16" s="94"/>
      <c r="E16" s="94"/>
      <c r="F16" s="94"/>
      <c r="G16" s="33"/>
      <c r="H16" s="9"/>
      <c r="I16" s="9"/>
      <c r="J16" s="9"/>
    </row>
    <row r="17" spans="2:10" ht="16.2" thickBot="1" x14ac:dyDescent="0.4">
      <c r="B17" s="96" t="s">
        <v>171</v>
      </c>
      <c r="C17" s="97">
        <f>+H22/C6</f>
        <v>0.38881636387976309</v>
      </c>
      <c r="D17" s="95"/>
      <c r="E17" s="95"/>
      <c r="F17" s="95"/>
      <c r="G17" s="33"/>
      <c r="H17" s="9"/>
      <c r="I17" s="9"/>
      <c r="J17" s="9"/>
    </row>
    <row r="18" spans="2:10" ht="15" thickBot="1" x14ac:dyDescent="0.35">
      <c r="B18" s="93"/>
      <c r="C18" s="95"/>
      <c r="D18" s="95"/>
      <c r="E18" s="95"/>
      <c r="F18" s="95"/>
      <c r="G18" s="33"/>
      <c r="H18" s="9"/>
      <c r="I18" s="9"/>
      <c r="J18" s="9"/>
    </row>
    <row r="19" spans="2:10" ht="16.2" thickBot="1" x14ac:dyDescent="0.4">
      <c r="B19" s="96" t="s">
        <v>171</v>
      </c>
      <c r="C19" s="97">
        <f>+H22/C9</f>
        <v>0.6096476092618659</v>
      </c>
      <c r="D19" s="95"/>
      <c r="E19" s="95"/>
      <c r="F19" s="95"/>
      <c r="G19" s="33"/>
      <c r="H19" s="9"/>
      <c r="I19" s="9"/>
      <c r="J19" s="9"/>
    </row>
    <row r="20" spans="2:10" x14ac:dyDescent="0.3">
      <c r="B20" s="93"/>
      <c r="C20" s="95"/>
      <c r="D20" s="95"/>
      <c r="E20" s="95"/>
      <c r="F20" s="95"/>
      <c r="G20" s="33"/>
      <c r="H20" s="9"/>
      <c r="I20" s="9"/>
      <c r="J20" s="9"/>
    </row>
    <row r="21" spans="2:10" ht="33" customHeight="1" x14ac:dyDescent="0.35">
      <c r="B21" s="81" t="s">
        <v>163</v>
      </c>
      <c r="C21" s="79" t="s">
        <v>197</v>
      </c>
      <c r="D21" s="79" t="s">
        <v>168</v>
      </c>
      <c r="E21" s="79" t="s">
        <v>169</v>
      </c>
      <c r="F21" s="79" t="s">
        <v>170</v>
      </c>
      <c r="G21" s="79" t="s">
        <v>209</v>
      </c>
      <c r="H21" s="80" t="s">
        <v>208</v>
      </c>
    </row>
    <row r="22" spans="2:10" x14ac:dyDescent="0.3">
      <c r="B22" s="16" t="s">
        <v>15</v>
      </c>
      <c r="C22" s="58">
        <f>SUM(C23:C69)</f>
        <v>4204795.5495570004</v>
      </c>
      <c r="D22" s="58"/>
      <c r="E22" s="58"/>
      <c r="F22" s="58"/>
      <c r="G22" s="17"/>
      <c r="H22" s="74">
        <f>SUM(H23:H69)</f>
        <v>2563443.5542223589</v>
      </c>
    </row>
    <row r="23" spans="2:10" x14ac:dyDescent="0.3">
      <c r="B23" s="75" t="s">
        <v>19</v>
      </c>
      <c r="C23" s="61"/>
      <c r="D23" s="106">
        <f>+SUM(D24:D34)</f>
        <v>41</v>
      </c>
      <c r="E23" s="54">
        <f>SUMPRODUCT(D24:D34,E24:E34)/D23</f>
        <v>10376.951219512195</v>
      </c>
      <c r="F23" s="51">
        <f t="shared" ref="F23:F51" si="0">1/(E23/$C$13)</f>
        <v>0.32881912305649247</v>
      </c>
      <c r="G23" s="46">
        <f t="shared" ref="G23:G51" si="1">+$C$14*$C$15/F23</f>
        <v>0.6141978548045165</v>
      </c>
      <c r="H23" s="65">
        <f>+G23*C23</f>
        <v>0</v>
      </c>
    </row>
    <row r="24" spans="2:10" x14ac:dyDescent="0.3">
      <c r="B24" s="76" t="s">
        <v>87</v>
      </c>
      <c r="C24" s="49">
        <v>1295.25873</v>
      </c>
      <c r="D24" s="50">
        <v>3</v>
      </c>
      <c r="E24" s="49">
        <v>10201</v>
      </c>
      <c r="F24" s="55">
        <f t="shared" si="0"/>
        <v>0.33449073620233311</v>
      </c>
      <c r="G24" s="59">
        <f t="shared" si="1"/>
        <v>0.60378353760396697</v>
      </c>
      <c r="H24" s="60">
        <f>+G24*C24</f>
        <v>782.05589811182153</v>
      </c>
    </row>
    <row r="25" spans="2:10" x14ac:dyDescent="0.3">
      <c r="B25" s="76" t="s">
        <v>88</v>
      </c>
      <c r="C25" s="49">
        <v>6630.8057900000003</v>
      </c>
      <c r="D25" s="50">
        <v>3</v>
      </c>
      <c r="E25" s="49">
        <v>10201</v>
      </c>
      <c r="F25" s="55">
        <f t="shared" si="0"/>
        <v>0.33449073620233311</v>
      </c>
      <c r="G25" s="59">
        <f t="shared" si="1"/>
        <v>0.60378353760396697</v>
      </c>
      <c r="H25" s="60">
        <f t="shared" ref="H25:H34" si="2">+G25*C25</f>
        <v>4003.571377051067</v>
      </c>
    </row>
    <row r="26" spans="2:10" x14ac:dyDescent="0.3">
      <c r="B26" s="76" t="s">
        <v>89</v>
      </c>
      <c r="C26" s="49">
        <v>3921.550401</v>
      </c>
      <c r="D26" s="50">
        <v>3</v>
      </c>
      <c r="E26" s="49">
        <v>10201</v>
      </c>
      <c r="F26" s="55">
        <f t="shared" si="0"/>
        <v>0.33449073620233311</v>
      </c>
      <c r="G26" s="59">
        <f t="shared" si="1"/>
        <v>0.60378353760396697</v>
      </c>
      <c r="H26" s="60">
        <f t="shared" si="2"/>
        <v>2367.7675740080354</v>
      </c>
    </row>
    <row r="27" spans="2:10" x14ac:dyDescent="0.3">
      <c r="B27" s="76" t="s">
        <v>92</v>
      </c>
      <c r="C27" s="49">
        <v>132236.64000000001</v>
      </c>
      <c r="D27" s="50">
        <v>18</v>
      </c>
      <c r="E27" s="49">
        <v>11497</v>
      </c>
      <c r="F27" s="55">
        <f t="shared" si="0"/>
        <v>0.29678524832565017</v>
      </c>
      <c r="G27" s="59">
        <f t="shared" si="1"/>
        <v>0.68049204311663647</v>
      </c>
      <c r="H27" s="60">
        <f t="shared" si="2"/>
        <v>89985.981328479145</v>
      </c>
    </row>
    <row r="28" spans="2:10" x14ac:dyDescent="0.3">
      <c r="B28" s="76" t="s">
        <v>93</v>
      </c>
      <c r="C28" s="49">
        <v>9389.0358410000008</v>
      </c>
      <c r="D28" s="50">
        <v>2</v>
      </c>
      <c r="E28" s="49">
        <v>9050</v>
      </c>
      <c r="F28" s="55">
        <f t="shared" si="0"/>
        <v>0.37703204419889497</v>
      </c>
      <c r="G28" s="59">
        <f t="shared" si="1"/>
        <v>0.53565738803214413</v>
      </c>
      <c r="H28" s="60">
        <f t="shared" si="2"/>
        <v>5029.3064147302457</v>
      </c>
    </row>
    <row r="29" spans="2:10" x14ac:dyDescent="0.3">
      <c r="B29" s="76" t="s">
        <v>94</v>
      </c>
      <c r="C29" s="49">
        <v>6762.7585799999997</v>
      </c>
      <c r="D29" s="50">
        <v>2</v>
      </c>
      <c r="E29" s="49">
        <v>9050</v>
      </c>
      <c r="F29" s="55">
        <f t="shared" si="0"/>
        <v>0.37703204419889497</v>
      </c>
      <c r="G29" s="59">
        <f t="shared" si="1"/>
        <v>0.53565738803214413</v>
      </c>
      <c r="H29" s="60">
        <f t="shared" si="2"/>
        <v>3622.5215968547718</v>
      </c>
    </row>
    <row r="30" spans="2:10" x14ac:dyDescent="0.3">
      <c r="B30" s="76" t="s">
        <v>95</v>
      </c>
      <c r="C30" s="49">
        <v>0</v>
      </c>
      <c r="D30" s="50">
        <v>2</v>
      </c>
      <c r="E30" s="49">
        <v>9050</v>
      </c>
      <c r="F30" s="55">
        <f t="shared" si="0"/>
        <v>0.37703204419889497</v>
      </c>
      <c r="G30" s="59">
        <f t="shared" si="1"/>
        <v>0.53565738803214413</v>
      </c>
      <c r="H30" s="60">
        <f t="shared" si="2"/>
        <v>0</v>
      </c>
    </row>
    <row r="31" spans="2:10" x14ac:dyDescent="0.3">
      <c r="B31" s="76" t="s">
        <v>96</v>
      </c>
      <c r="C31" s="49">
        <v>6196.9345160000003</v>
      </c>
      <c r="D31" s="50">
        <v>2</v>
      </c>
      <c r="E31" s="49">
        <v>9050</v>
      </c>
      <c r="F31" s="55">
        <f t="shared" si="0"/>
        <v>0.37703204419889497</v>
      </c>
      <c r="G31" s="59">
        <f t="shared" si="1"/>
        <v>0.53565738803214413</v>
      </c>
      <c r="H31" s="60">
        <f t="shared" si="2"/>
        <v>3319.4337566467993</v>
      </c>
    </row>
    <row r="32" spans="2:10" x14ac:dyDescent="0.3">
      <c r="B32" s="76" t="s">
        <v>97</v>
      </c>
      <c r="C32" s="49">
        <v>8851.2839679999997</v>
      </c>
      <c r="D32" s="50">
        <v>2</v>
      </c>
      <c r="E32" s="49">
        <v>9050</v>
      </c>
      <c r="F32" s="55">
        <f t="shared" si="0"/>
        <v>0.37703204419889497</v>
      </c>
      <c r="G32" s="59">
        <f t="shared" si="1"/>
        <v>0.53565738803214413</v>
      </c>
      <c r="H32" s="60">
        <f t="shared" si="2"/>
        <v>4741.2556510296727</v>
      </c>
    </row>
    <row r="33" spans="2:8" x14ac:dyDescent="0.3">
      <c r="B33" s="76" t="s">
        <v>98</v>
      </c>
      <c r="C33" s="53">
        <v>10123.336069999999</v>
      </c>
      <c r="D33" s="50">
        <v>2</v>
      </c>
      <c r="E33" s="49">
        <v>9050</v>
      </c>
      <c r="F33" s="55">
        <f t="shared" si="0"/>
        <v>0.37703204419889497</v>
      </c>
      <c r="G33" s="59">
        <f t="shared" si="1"/>
        <v>0.53565738803214413</v>
      </c>
      <c r="H33" s="60">
        <f t="shared" si="2"/>
        <v>5422.6397574277908</v>
      </c>
    </row>
    <row r="34" spans="2:8" x14ac:dyDescent="0.3">
      <c r="B34" s="76" t="s">
        <v>99</v>
      </c>
      <c r="C34" s="49">
        <v>4892.938408</v>
      </c>
      <c r="D34" s="50">
        <v>2</v>
      </c>
      <c r="E34" s="49">
        <v>9050</v>
      </c>
      <c r="F34" s="56">
        <f t="shared" si="0"/>
        <v>0.37703204419889497</v>
      </c>
      <c r="G34" s="59">
        <f t="shared" si="1"/>
        <v>0.53565738803214413</v>
      </c>
      <c r="H34" s="60">
        <f t="shared" si="2"/>
        <v>2620.9386074314375</v>
      </c>
    </row>
    <row r="35" spans="2:8" x14ac:dyDescent="0.3">
      <c r="B35" s="77" t="s">
        <v>20</v>
      </c>
      <c r="C35" s="61"/>
      <c r="D35" s="107">
        <f>+SUM(D36:D37)</f>
        <v>90</v>
      </c>
      <c r="E35" s="44">
        <f>SUMPRODUCT(D36:D37,E36:E37)/D35</f>
        <v>8557.5</v>
      </c>
      <c r="F35" s="51">
        <f t="shared" si="0"/>
        <v>0.39873093777388252</v>
      </c>
      <c r="G35" s="46">
        <f t="shared" si="1"/>
        <v>0.50650697216409646</v>
      </c>
      <c r="H35" s="65">
        <f>+G35*C35</f>
        <v>0</v>
      </c>
    </row>
    <row r="36" spans="2:8" x14ac:dyDescent="0.3">
      <c r="B36" s="76" t="s">
        <v>113</v>
      </c>
      <c r="C36" s="49">
        <v>327166</v>
      </c>
      <c r="D36" s="50">
        <v>45</v>
      </c>
      <c r="E36" s="49">
        <v>8389</v>
      </c>
      <c r="F36" s="55">
        <f t="shared" si="0"/>
        <v>0.40673977828108238</v>
      </c>
      <c r="G36" s="59">
        <f t="shared" si="1"/>
        <v>0.49653368267421616</v>
      </c>
      <c r="H36" s="60">
        <f t="shared" ref="H36:H37" si="3">+G36*C36</f>
        <v>162448.9388257926</v>
      </c>
    </row>
    <row r="37" spans="2:8" x14ac:dyDescent="0.3">
      <c r="B37" s="76" t="s">
        <v>114</v>
      </c>
      <c r="C37" s="49">
        <v>326073</v>
      </c>
      <c r="D37" s="50">
        <v>45</v>
      </c>
      <c r="E37" s="49">
        <v>8726</v>
      </c>
      <c r="F37" s="56">
        <f t="shared" si="0"/>
        <v>0.39103140041256013</v>
      </c>
      <c r="G37" s="59">
        <f t="shared" si="1"/>
        <v>0.51648026165397676</v>
      </c>
      <c r="H37" s="60">
        <f t="shared" si="3"/>
        <v>168410.26835829715</v>
      </c>
    </row>
    <row r="38" spans="2:8" x14ac:dyDescent="0.3">
      <c r="B38" s="77" t="s">
        <v>18</v>
      </c>
      <c r="C38" s="44">
        <v>609577.55848999997</v>
      </c>
      <c r="D38" s="107">
        <f>+SUM(D39:D40)</f>
        <v>112</v>
      </c>
      <c r="E38" s="44">
        <f>SUMPRODUCT(D39:D40,E39:E40)/D38</f>
        <v>9830</v>
      </c>
      <c r="F38" s="51">
        <f t="shared" si="0"/>
        <v>0.34711495422177008</v>
      </c>
      <c r="G38" s="46">
        <f t="shared" si="1"/>
        <v>0.58182454412773221</v>
      </c>
      <c r="H38" s="101">
        <f>+G38*C38</f>
        <v>354667.18507894024</v>
      </c>
    </row>
    <row r="39" spans="2:8" x14ac:dyDescent="0.3">
      <c r="B39" s="76" t="s">
        <v>105</v>
      </c>
      <c r="C39" s="111"/>
      <c r="D39" s="50">
        <v>56</v>
      </c>
      <c r="E39" s="49">
        <v>9830</v>
      </c>
      <c r="F39" s="55">
        <f t="shared" si="0"/>
        <v>0.34711495422177008</v>
      </c>
      <c r="G39" s="59">
        <f t="shared" si="1"/>
        <v>0.58182454412773221</v>
      </c>
      <c r="H39" s="265"/>
    </row>
    <row r="40" spans="2:8" x14ac:dyDescent="0.3">
      <c r="B40" s="76" t="s">
        <v>106</v>
      </c>
      <c r="C40" s="53"/>
      <c r="D40" s="50">
        <v>56</v>
      </c>
      <c r="E40" s="49">
        <v>9830</v>
      </c>
      <c r="F40" s="55">
        <f t="shared" si="0"/>
        <v>0.34711495422177008</v>
      </c>
      <c r="G40" s="59">
        <f t="shared" si="1"/>
        <v>0.58182454412773221</v>
      </c>
      <c r="H40" s="71"/>
    </row>
    <row r="41" spans="2:8" x14ac:dyDescent="0.3">
      <c r="B41" s="76" t="s">
        <v>315</v>
      </c>
      <c r="C41" s="53">
        <v>7408.7086380000001</v>
      </c>
      <c r="D41" s="50">
        <v>24.4</v>
      </c>
      <c r="E41" s="49">
        <v>9731</v>
      </c>
      <c r="F41" s="55">
        <f t="shared" si="0"/>
        <v>0.35064638783269964</v>
      </c>
      <c r="G41" s="59">
        <f t="shared" si="1"/>
        <v>0.57596486662329205</v>
      </c>
      <c r="H41" s="60">
        <f t="shared" ref="H41" si="4">+G41*C41</f>
        <v>4267.1558825365018</v>
      </c>
    </row>
    <row r="42" spans="2:8" x14ac:dyDescent="0.3">
      <c r="B42" s="77" t="s">
        <v>23</v>
      </c>
      <c r="C42" s="44"/>
      <c r="D42" s="107">
        <f>+SUM(D43:D44)</f>
        <v>46</v>
      </c>
      <c r="E42" s="44">
        <f>SUMPRODUCT(D43:D44,E43:E44)/D42</f>
        <v>10103.5</v>
      </c>
      <c r="F42" s="51">
        <f t="shared" si="0"/>
        <v>0.33771861236205275</v>
      </c>
      <c r="G42" s="46">
        <f t="shared" si="1"/>
        <v>0.59801264309201851</v>
      </c>
      <c r="H42" s="101">
        <f>+G42*C42</f>
        <v>0</v>
      </c>
    </row>
    <row r="43" spans="2:8" x14ac:dyDescent="0.3">
      <c r="B43" s="76" t="s">
        <v>107</v>
      </c>
      <c r="C43" s="53">
        <v>186730</v>
      </c>
      <c r="D43" s="50">
        <v>23</v>
      </c>
      <c r="E43" s="49">
        <v>10157</v>
      </c>
      <c r="F43" s="55">
        <f t="shared" si="0"/>
        <v>0.33593974598798854</v>
      </c>
      <c r="G43" s="59">
        <f t="shared" si="1"/>
        <v>0.60117923649088267</v>
      </c>
      <c r="H43" s="60">
        <f t="shared" ref="H43:H46" si="5">+G43*C43</f>
        <v>112258.19882994253</v>
      </c>
    </row>
    <row r="44" spans="2:8" x14ac:dyDescent="0.3">
      <c r="B44" s="76" t="s">
        <v>108</v>
      </c>
      <c r="C44" s="53">
        <v>193364</v>
      </c>
      <c r="D44" s="50">
        <v>23</v>
      </c>
      <c r="E44" s="49">
        <v>10050</v>
      </c>
      <c r="F44" s="55">
        <f t="shared" si="0"/>
        <v>0.33951641791044773</v>
      </c>
      <c r="G44" s="59">
        <f t="shared" si="1"/>
        <v>0.59484604969315447</v>
      </c>
      <c r="H44" s="60">
        <f t="shared" si="5"/>
        <v>115021.81155286712</v>
      </c>
    </row>
    <row r="45" spans="2:8" x14ac:dyDescent="0.3">
      <c r="B45" s="76" t="s">
        <v>109</v>
      </c>
      <c r="C45" s="53">
        <v>170825</v>
      </c>
      <c r="D45" s="50">
        <v>25</v>
      </c>
      <c r="E45" s="49">
        <v>10060</v>
      </c>
      <c r="F45" s="55">
        <f t="shared" si="0"/>
        <v>0.33917892644135184</v>
      </c>
      <c r="G45" s="59">
        <f t="shared" si="1"/>
        <v>0.5954379363097646</v>
      </c>
      <c r="H45" s="60">
        <f t="shared" si="5"/>
        <v>101715.68547011554</v>
      </c>
    </row>
    <row r="46" spans="2:8" x14ac:dyDescent="0.3">
      <c r="B46" s="76" t="s">
        <v>110</v>
      </c>
      <c r="C46" s="53">
        <v>187411</v>
      </c>
      <c r="D46" s="50">
        <v>25</v>
      </c>
      <c r="E46" s="49">
        <v>10033</v>
      </c>
      <c r="F46" s="55">
        <f t="shared" si="0"/>
        <v>0.34009169739858464</v>
      </c>
      <c r="G46" s="59">
        <f t="shared" si="1"/>
        <v>0.59383984244491728</v>
      </c>
      <c r="H46" s="60">
        <f t="shared" si="5"/>
        <v>111292.1187124444</v>
      </c>
    </row>
    <row r="47" spans="2:8" x14ac:dyDescent="0.3">
      <c r="B47" s="77" t="s">
        <v>16</v>
      </c>
      <c r="C47" s="61"/>
      <c r="D47" s="107">
        <f>+SUM(D48:D56)</f>
        <v>272</v>
      </c>
      <c r="E47" s="44">
        <f>SUMPRODUCT(D48:D56,E48:E56)/D47</f>
        <v>10811.382352941177</v>
      </c>
      <c r="F47" s="51">
        <f t="shared" si="0"/>
        <v>0.31560626463939145</v>
      </c>
      <c r="G47" s="46">
        <f t="shared" si="1"/>
        <v>0.63991125217605382</v>
      </c>
      <c r="H47" s="65">
        <f>+G47*C47</f>
        <v>0</v>
      </c>
    </row>
    <row r="48" spans="2:8" x14ac:dyDescent="0.3">
      <c r="B48" s="76" t="s">
        <v>78</v>
      </c>
      <c r="C48" s="49">
        <v>31424.37</v>
      </c>
      <c r="D48" s="50">
        <v>22</v>
      </c>
      <c r="E48" s="49">
        <v>11971</v>
      </c>
      <c r="F48" s="55">
        <f t="shared" si="0"/>
        <v>0.2850338317600869</v>
      </c>
      <c r="G48" s="59">
        <f t="shared" si="1"/>
        <v>0.70854746874395536</v>
      </c>
      <c r="H48" s="60">
        <f t="shared" ref="H48:H56" si="6">+G48*C48</f>
        <v>22265.657820373486</v>
      </c>
    </row>
    <row r="49" spans="2:8" x14ac:dyDescent="0.3">
      <c r="B49" s="76" t="s">
        <v>79</v>
      </c>
      <c r="C49" s="49">
        <v>38362.5</v>
      </c>
      <c r="D49" s="50">
        <v>20</v>
      </c>
      <c r="E49" s="49">
        <v>12595</v>
      </c>
      <c r="F49" s="55">
        <f t="shared" si="0"/>
        <v>0.27091226677252878</v>
      </c>
      <c r="G49" s="59">
        <f t="shared" si="1"/>
        <v>0.74548119362042586</v>
      </c>
      <c r="H49" s="60">
        <f t="shared" si="6"/>
        <v>28598.522290263587</v>
      </c>
    </row>
    <row r="50" spans="2:8" x14ac:dyDescent="0.3">
      <c r="B50" s="76" t="s">
        <v>80</v>
      </c>
      <c r="C50" s="49">
        <v>65185.067999999999</v>
      </c>
      <c r="D50" s="50">
        <v>20</v>
      </c>
      <c r="E50" s="49">
        <v>12834</v>
      </c>
      <c r="F50" s="55">
        <f t="shared" si="0"/>
        <v>0.26586722767648435</v>
      </c>
      <c r="G50" s="59">
        <f t="shared" si="1"/>
        <v>0.75962728375740729</v>
      </c>
      <c r="H50" s="60">
        <f t="shared" si="6"/>
        <v>49516.356146381891</v>
      </c>
    </row>
    <row r="51" spans="2:8" x14ac:dyDescent="0.3">
      <c r="B51" s="76" t="s">
        <v>81</v>
      </c>
      <c r="C51" s="49">
        <v>73021.77</v>
      </c>
      <c r="D51" s="50">
        <v>21</v>
      </c>
      <c r="E51" s="49">
        <v>12644</v>
      </c>
      <c r="F51" s="56">
        <f t="shared" si="0"/>
        <v>0.26986238532110091</v>
      </c>
      <c r="G51" s="59">
        <f t="shared" si="1"/>
        <v>0.74838143804181545</v>
      </c>
      <c r="H51" s="60">
        <f t="shared" si="6"/>
        <v>54648.137240958698</v>
      </c>
    </row>
    <row r="52" spans="2:8" x14ac:dyDescent="0.3">
      <c r="B52" s="76" t="s">
        <v>118</v>
      </c>
      <c r="C52" s="66"/>
      <c r="D52" s="105"/>
      <c r="E52" s="29"/>
      <c r="F52" s="41"/>
      <c r="G52" s="35"/>
      <c r="H52" s="67"/>
    </row>
    <row r="53" spans="2:8" x14ac:dyDescent="0.3">
      <c r="B53" s="76" t="s">
        <v>119</v>
      </c>
      <c r="C53" s="70"/>
      <c r="D53" s="42"/>
      <c r="E53" s="43"/>
      <c r="F53" s="104"/>
      <c r="G53" s="73"/>
      <c r="H53" s="71"/>
    </row>
    <row r="54" spans="2:8" x14ac:dyDescent="0.3">
      <c r="B54" s="76" t="s">
        <v>82</v>
      </c>
      <c r="C54" s="49">
        <v>362328.33600000001</v>
      </c>
      <c r="D54" s="50">
        <v>63</v>
      </c>
      <c r="E54" s="49">
        <v>10070</v>
      </c>
      <c r="F54" s="100">
        <f t="shared" ref="F54:F69" si="7">1/(E54/$C$13)</f>
        <v>0.33884210526315789</v>
      </c>
      <c r="G54" s="102">
        <f t="shared" ref="G54:G69" si="8">+$C$14*$C$15/F54</f>
        <v>0.59602982292637463</v>
      </c>
      <c r="H54" s="103">
        <f t="shared" si="6"/>
        <v>215958.49394728796</v>
      </c>
    </row>
    <row r="55" spans="2:8" x14ac:dyDescent="0.3">
      <c r="B55" s="76" t="s">
        <v>83</v>
      </c>
      <c r="C55" s="49">
        <v>328187.05200000003</v>
      </c>
      <c r="D55" s="50">
        <v>63</v>
      </c>
      <c r="E55" s="49">
        <v>10070</v>
      </c>
      <c r="F55" s="55">
        <f t="shared" si="7"/>
        <v>0.33884210526315789</v>
      </c>
      <c r="G55" s="59">
        <f t="shared" si="8"/>
        <v>0.59602982292637463</v>
      </c>
      <c r="H55" s="60">
        <f t="shared" si="6"/>
        <v>195609.27049028891</v>
      </c>
    </row>
    <row r="56" spans="2:8" x14ac:dyDescent="0.3">
      <c r="B56" s="76" t="s">
        <v>84</v>
      </c>
      <c r="C56" s="49">
        <v>362853.24075</v>
      </c>
      <c r="D56" s="50">
        <v>63</v>
      </c>
      <c r="E56" s="49">
        <v>10070</v>
      </c>
      <c r="F56" s="55">
        <f t="shared" si="7"/>
        <v>0.33884210526315789</v>
      </c>
      <c r="G56" s="59">
        <f t="shared" si="8"/>
        <v>0.59602982292637463</v>
      </c>
      <c r="H56" s="60">
        <f t="shared" si="6"/>
        <v>216271.35283248368</v>
      </c>
    </row>
    <row r="57" spans="2:8" x14ac:dyDescent="0.3">
      <c r="B57" s="77" t="s">
        <v>21</v>
      </c>
      <c r="C57" s="61"/>
      <c r="D57" s="107">
        <f>+D58</f>
        <v>14</v>
      </c>
      <c r="E57" s="44">
        <f>+E58</f>
        <v>11860</v>
      </c>
      <c r="F57" s="51">
        <f t="shared" si="7"/>
        <v>0.2877015177065767</v>
      </c>
      <c r="G57" s="46">
        <f t="shared" si="8"/>
        <v>0.70197752729958329</v>
      </c>
      <c r="H57" s="65">
        <f>+G57*C57</f>
        <v>0</v>
      </c>
    </row>
    <row r="58" spans="2:8" x14ac:dyDescent="0.3">
      <c r="B58" s="76" t="s">
        <v>100</v>
      </c>
      <c r="C58" s="49">
        <v>79540.577999999994</v>
      </c>
      <c r="D58" s="50">
        <v>14</v>
      </c>
      <c r="E58" s="49">
        <v>11860</v>
      </c>
      <c r="F58" s="55">
        <f t="shared" si="7"/>
        <v>0.2877015177065767</v>
      </c>
      <c r="G58" s="59">
        <f t="shared" si="8"/>
        <v>0.70197752729958329</v>
      </c>
      <c r="H58" s="60">
        <f t="shared" ref="H58" si="9">+G58*C58</f>
        <v>55835.698264419632</v>
      </c>
    </row>
    <row r="59" spans="2:8" x14ac:dyDescent="0.3">
      <c r="B59" s="77" t="s">
        <v>22</v>
      </c>
      <c r="C59" s="61"/>
      <c r="D59" s="107">
        <f>+SUM(D60:D61)</f>
        <v>18</v>
      </c>
      <c r="E59" s="44">
        <f>SUMPRODUCT(D60:D61,E60:E61)/D59</f>
        <v>12074</v>
      </c>
      <c r="F59" s="51">
        <f t="shared" si="7"/>
        <v>0.28260228590359449</v>
      </c>
      <c r="G59" s="46">
        <f t="shared" si="8"/>
        <v>0.71464390089503949</v>
      </c>
      <c r="H59" s="65">
        <f>+G59*C59</f>
        <v>0</v>
      </c>
    </row>
    <row r="60" spans="2:8" x14ac:dyDescent="0.3">
      <c r="B60" s="76" t="s">
        <v>111</v>
      </c>
      <c r="C60" s="49">
        <v>50444.303124999999</v>
      </c>
      <c r="D60" s="50">
        <v>9</v>
      </c>
      <c r="E60" s="49">
        <v>12074</v>
      </c>
      <c r="F60" s="55">
        <f t="shared" si="7"/>
        <v>0.28260228590359449</v>
      </c>
      <c r="G60" s="59">
        <f t="shared" si="8"/>
        <v>0.71464390089503949</v>
      </c>
      <c r="H60" s="60">
        <f t="shared" ref="H60:H61" si="10">+G60*C60</f>
        <v>36049.713563181831</v>
      </c>
    </row>
    <row r="61" spans="2:8" x14ac:dyDescent="0.3">
      <c r="B61" s="76" t="s">
        <v>112</v>
      </c>
      <c r="C61" s="49">
        <v>50578.209750000002</v>
      </c>
      <c r="D61" s="50">
        <v>9</v>
      </c>
      <c r="E61" s="49">
        <v>12074</v>
      </c>
      <c r="F61" s="55">
        <f t="shared" si="7"/>
        <v>0.28260228590359449</v>
      </c>
      <c r="G61" s="59">
        <f t="shared" si="8"/>
        <v>0.71464390089503949</v>
      </c>
      <c r="H61" s="60">
        <f t="shared" si="10"/>
        <v>36145.40911602752</v>
      </c>
    </row>
    <row r="62" spans="2:8" x14ac:dyDescent="0.3">
      <c r="B62" s="77" t="s">
        <v>17</v>
      </c>
      <c r="C62" s="61"/>
      <c r="D62" s="107">
        <f>+SUM(D63:D64)</f>
        <v>44</v>
      </c>
      <c r="E62" s="44">
        <f>SUMPRODUCT(D63:D64,E63:E64)/D62</f>
        <v>11761</v>
      </c>
      <c r="F62" s="51">
        <f t="shared" si="7"/>
        <v>0.29012328883598332</v>
      </c>
      <c r="G62" s="46">
        <f t="shared" si="8"/>
        <v>0.69611784979514324</v>
      </c>
      <c r="H62" s="65">
        <f>+G62*C62</f>
        <v>0</v>
      </c>
    </row>
    <row r="63" spans="2:8" x14ac:dyDescent="0.3">
      <c r="B63" s="76" t="s">
        <v>85</v>
      </c>
      <c r="C63" s="49">
        <v>82841.692500000005</v>
      </c>
      <c r="D63" s="50">
        <v>22</v>
      </c>
      <c r="E63" s="49">
        <v>11850</v>
      </c>
      <c r="F63" s="55">
        <f t="shared" si="7"/>
        <v>0.28794430379746838</v>
      </c>
      <c r="G63" s="59">
        <f t="shared" si="8"/>
        <v>0.70138564068297304</v>
      </c>
      <c r="H63" s="60">
        <f t="shared" ref="H63:H64" si="11">+G63*C63</f>
        <v>58103.97356937435</v>
      </c>
    </row>
    <row r="64" spans="2:8" x14ac:dyDescent="0.3">
      <c r="B64" s="76" t="s">
        <v>86</v>
      </c>
      <c r="C64" s="49">
        <v>105667.14</v>
      </c>
      <c r="D64" s="50">
        <v>22</v>
      </c>
      <c r="E64" s="49">
        <v>11672</v>
      </c>
      <c r="F64" s="55">
        <f t="shared" si="7"/>
        <v>0.29233550376970524</v>
      </c>
      <c r="G64" s="59">
        <f t="shared" si="8"/>
        <v>0.69085005890731344</v>
      </c>
      <c r="H64" s="60">
        <f t="shared" si="11"/>
        <v>73000.14989356733</v>
      </c>
    </row>
    <row r="65" spans="2:8" x14ac:dyDescent="0.3">
      <c r="B65" s="77" t="s">
        <v>45</v>
      </c>
      <c r="C65" s="44">
        <v>375505.48</v>
      </c>
      <c r="D65" s="107">
        <f>+SUM(D66:D69)</f>
        <v>72</v>
      </c>
      <c r="E65" s="44">
        <f>SUMPRODUCT(D66:D69,E66:E69)/D65</f>
        <v>12124</v>
      </c>
      <c r="F65" s="51">
        <f t="shared" si="7"/>
        <v>0.28143681953150773</v>
      </c>
      <c r="G65" s="46">
        <f t="shared" si="8"/>
        <v>0.71760333397809006</v>
      </c>
      <c r="H65" s="101">
        <f>+G65*C65</f>
        <v>269463.98437504302</v>
      </c>
    </row>
    <row r="66" spans="2:8" x14ac:dyDescent="0.3">
      <c r="B66" s="76" t="s">
        <v>101</v>
      </c>
      <c r="C66" s="49"/>
      <c r="D66" s="50">
        <v>18</v>
      </c>
      <c r="E66" s="49">
        <v>12124</v>
      </c>
      <c r="F66" s="55">
        <f t="shared" si="7"/>
        <v>0.28143681953150773</v>
      </c>
      <c r="G66" s="59">
        <f t="shared" si="8"/>
        <v>0.71760333397809006</v>
      </c>
      <c r="H66" s="60">
        <f t="shared" ref="H66:H69" si="12">+G66*C66</f>
        <v>0</v>
      </c>
    </row>
    <row r="67" spans="2:8" x14ac:dyDescent="0.3">
      <c r="B67" s="76" t="s">
        <v>102</v>
      </c>
      <c r="C67" s="49"/>
      <c r="D67" s="50">
        <v>18</v>
      </c>
      <c r="E67" s="49">
        <v>12124</v>
      </c>
      <c r="F67" s="55">
        <f t="shared" si="7"/>
        <v>0.28143681953150773</v>
      </c>
      <c r="G67" s="59">
        <f t="shared" si="8"/>
        <v>0.71760333397809006</v>
      </c>
      <c r="H67" s="60">
        <f t="shared" si="12"/>
        <v>0</v>
      </c>
    </row>
    <row r="68" spans="2:8" x14ac:dyDescent="0.3">
      <c r="B68" s="76" t="s">
        <v>103</v>
      </c>
      <c r="C68" s="49"/>
      <c r="D68" s="50">
        <v>18</v>
      </c>
      <c r="E68" s="49">
        <v>12124</v>
      </c>
      <c r="F68" s="55">
        <f t="shared" si="7"/>
        <v>0.28143681953150773</v>
      </c>
      <c r="G68" s="59">
        <f t="shared" si="8"/>
        <v>0.71760333397809006</v>
      </c>
      <c r="H68" s="60">
        <f t="shared" si="12"/>
        <v>0</v>
      </c>
    </row>
    <row r="69" spans="2:8" x14ac:dyDescent="0.3">
      <c r="B69" s="76" t="s">
        <v>104</v>
      </c>
      <c r="C69" s="53"/>
      <c r="D69" s="48">
        <v>18</v>
      </c>
      <c r="E69" s="49">
        <v>12124</v>
      </c>
      <c r="F69" s="56">
        <f t="shared" si="7"/>
        <v>0.28143681953150773</v>
      </c>
      <c r="G69" s="59">
        <f t="shared" si="8"/>
        <v>0.71760333397809006</v>
      </c>
      <c r="H69" s="60">
        <f t="shared" si="12"/>
        <v>0</v>
      </c>
    </row>
    <row r="70" spans="2:8" x14ac:dyDescent="0.3">
      <c r="B70" s="13"/>
      <c r="C70" s="4"/>
      <c r="D70" s="4"/>
      <c r="E70" s="4"/>
      <c r="F70" s="4"/>
      <c r="G70" s="4"/>
    </row>
    <row r="71" spans="2:8" ht="28.8" x14ac:dyDescent="0.3">
      <c r="B71" s="84" t="s">
        <v>164</v>
      </c>
      <c r="C71" s="79" t="s">
        <v>197</v>
      </c>
      <c r="D71" s="99"/>
      <c r="E71" s="99"/>
      <c r="F71" s="4"/>
      <c r="G71" s="99"/>
      <c r="H71" s="9"/>
    </row>
    <row r="72" spans="2:8" x14ac:dyDescent="0.3">
      <c r="B72" s="82" t="s">
        <v>0</v>
      </c>
      <c r="C72" s="83">
        <f>SUM(C73:C135)</f>
        <v>2324105.4636729998</v>
      </c>
      <c r="D72" s="31"/>
      <c r="E72" s="31"/>
      <c r="F72" s="9"/>
      <c r="G72" s="31"/>
      <c r="H72" s="9"/>
    </row>
    <row r="73" spans="2:8" x14ac:dyDescent="0.3">
      <c r="B73" s="57" t="s">
        <v>26</v>
      </c>
      <c r="C73" s="78"/>
      <c r="D73" s="30"/>
      <c r="E73" s="30"/>
      <c r="F73" s="4"/>
      <c r="G73" s="30"/>
      <c r="H73" s="9"/>
    </row>
    <row r="74" spans="2:8" x14ac:dyDescent="0.3">
      <c r="B74" s="47" t="s">
        <v>142</v>
      </c>
      <c r="C74" s="49">
        <v>8656.5849999999991</v>
      </c>
      <c r="D74" s="30"/>
      <c r="E74" s="30"/>
      <c r="F74" s="4"/>
      <c r="G74" s="30"/>
      <c r="H74" s="9"/>
    </row>
    <row r="75" spans="2:8" x14ac:dyDescent="0.3">
      <c r="B75" s="47" t="s">
        <v>143</v>
      </c>
      <c r="C75" s="49">
        <v>5139.1980000000003</v>
      </c>
      <c r="D75" s="30"/>
      <c r="E75" s="30"/>
      <c r="F75" s="4"/>
      <c r="G75" s="30"/>
      <c r="H75" s="9"/>
    </row>
    <row r="76" spans="2:8" x14ac:dyDescent="0.3">
      <c r="B76" s="47" t="s">
        <v>144</v>
      </c>
      <c r="C76" s="49">
        <v>6575.5169999999998</v>
      </c>
      <c r="D76" s="30"/>
      <c r="E76" s="30"/>
      <c r="F76" s="4"/>
      <c r="G76" s="30"/>
      <c r="H76" s="9"/>
    </row>
    <row r="77" spans="2:8" x14ac:dyDescent="0.3">
      <c r="B77" s="57" t="s">
        <v>27</v>
      </c>
      <c r="C77" s="78"/>
      <c r="D77" s="30"/>
      <c r="E77" s="30"/>
      <c r="F77" s="4"/>
      <c r="G77" s="30"/>
      <c r="H77" s="9"/>
    </row>
    <row r="78" spans="2:8" x14ac:dyDescent="0.3">
      <c r="B78" s="47" t="s">
        <v>125</v>
      </c>
      <c r="C78" s="49">
        <v>8621.2659999999996</v>
      </c>
      <c r="D78" s="30"/>
      <c r="E78" s="30"/>
      <c r="F78" s="4"/>
      <c r="G78" s="30"/>
      <c r="H78" s="9"/>
    </row>
    <row r="79" spans="2:8" x14ac:dyDescent="0.3">
      <c r="B79" s="47" t="s">
        <v>126</v>
      </c>
      <c r="C79" s="49">
        <v>7153.3130000000001</v>
      </c>
      <c r="D79" s="30"/>
      <c r="E79" s="30"/>
      <c r="F79" s="4"/>
      <c r="G79" s="30"/>
      <c r="H79" s="9"/>
    </row>
    <row r="80" spans="2:8" x14ac:dyDescent="0.3">
      <c r="B80" s="47" t="s">
        <v>127</v>
      </c>
      <c r="C80" s="49">
        <v>20814.348000000002</v>
      </c>
      <c r="D80" s="30"/>
      <c r="E80" s="30"/>
      <c r="F80" s="4"/>
      <c r="G80" s="30"/>
      <c r="H80" s="9"/>
    </row>
    <row r="81" spans="2:8" x14ac:dyDescent="0.3">
      <c r="B81" s="57" t="s">
        <v>28</v>
      </c>
      <c r="C81" s="78"/>
      <c r="D81" s="30"/>
      <c r="E81" s="30"/>
      <c r="F81" s="4"/>
      <c r="G81" s="30"/>
      <c r="H81" s="9"/>
    </row>
    <row r="82" spans="2:8" x14ac:dyDescent="0.3">
      <c r="B82" s="47" t="s">
        <v>156</v>
      </c>
      <c r="C82" s="49">
        <v>58254.008999999998</v>
      </c>
      <c r="D82" s="30"/>
      <c r="E82" s="30"/>
      <c r="F82" s="4"/>
      <c r="G82" s="30"/>
      <c r="H82" s="9"/>
    </row>
    <row r="83" spans="2:8" x14ac:dyDescent="0.3">
      <c r="B83" s="47" t="s">
        <v>157</v>
      </c>
      <c r="C83" s="49">
        <v>91507.437000000005</v>
      </c>
      <c r="D83" s="30"/>
      <c r="E83" s="30"/>
      <c r="F83" s="4"/>
      <c r="G83" s="30"/>
      <c r="H83" s="9"/>
    </row>
    <row r="84" spans="2:8" x14ac:dyDescent="0.3">
      <c r="B84" s="57" t="s">
        <v>32</v>
      </c>
      <c r="C84" s="78"/>
      <c r="D84" s="30"/>
      <c r="E84" s="30"/>
      <c r="F84" s="4"/>
      <c r="G84" s="30"/>
      <c r="H84" s="9"/>
    </row>
    <row r="85" spans="2:8" x14ac:dyDescent="0.3">
      <c r="B85" s="47" t="s">
        <v>148</v>
      </c>
      <c r="C85" s="49">
        <v>41999.478999999999</v>
      </c>
      <c r="D85" s="30"/>
      <c r="E85" s="30"/>
      <c r="F85" s="4"/>
      <c r="G85" s="30"/>
      <c r="H85" s="9"/>
    </row>
    <row r="86" spans="2:8" x14ac:dyDescent="0.3">
      <c r="B86" s="57" t="s">
        <v>29</v>
      </c>
      <c r="C86" s="78"/>
      <c r="D86" s="30"/>
      <c r="E86" s="30"/>
      <c r="F86" s="4"/>
      <c r="G86" s="30"/>
      <c r="H86" s="9"/>
    </row>
    <row r="87" spans="2:8" x14ac:dyDescent="0.3">
      <c r="B87" s="47" t="s">
        <v>149</v>
      </c>
      <c r="C87" s="49">
        <v>3270.2496729999998</v>
      </c>
      <c r="D87" s="30"/>
      <c r="E87" s="30"/>
      <c r="F87" s="4"/>
      <c r="G87" s="30"/>
      <c r="H87" s="9"/>
    </row>
    <row r="88" spans="2:8" x14ac:dyDescent="0.3">
      <c r="B88" s="47" t="s">
        <v>173</v>
      </c>
      <c r="C88" s="49">
        <v>124388.162</v>
      </c>
      <c r="D88" s="30"/>
      <c r="E88" s="30"/>
      <c r="F88" s="4"/>
      <c r="G88" s="30"/>
      <c r="H88" s="9"/>
    </row>
    <row r="89" spans="2:8" x14ac:dyDescent="0.3">
      <c r="B89" s="57" t="s">
        <v>30</v>
      </c>
      <c r="C89" s="78"/>
      <c r="D89" s="30"/>
      <c r="E89" s="30"/>
      <c r="F89" s="4"/>
      <c r="G89" s="30"/>
      <c r="H89" s="9"/>
    </row>
    <row r="90" spans="2:8" x14ac:dyDescent="0.3">
      <c r="B90" s="47" t="s">
        <v>145</v>
      </c>
      <c r="C90" s="49">
        <v>11726.216</v>
      </c>
      <c r="D90" s="30"/>
      <c r="E90" s="30"/>
      <c r="F90" s="4"/>
      <c r="G90" s="30"/>
      <c r="H90" s="9"/>
    </row>
    <row r="91" spans="2:8" x14ac:dyDescent="0.3">
      <c r="B91" s="47" t="s">
        <v>146</v>
      </c>
      <c r="C91" s="49">
        <v>13902.388999999999</v>
      </c>
      <c r="D91" s="30"/>
      <c r="E91" s="30"/>
      <c r="F91" s="4"/>
      <c r="G91" s="30"/>
      <c r="H91" s="9"/>
    </row>
    <row r="92" spans="2:8" x14ac:dyDescent="0.3">
      <c r="B92" s="47" t="s">
        <v>147</v>
      </c>
      <c r="C92" s="49">
        <v>11428.677</v>
      </c>
      <c r="D92" s="30"/>
      <c r="E92" s="30"/>
      <c r="F92" s="4"/>
      <c r="G92" s="30"/>
      <c r="H92" s="9"/>
    </row>
    <row r="93" spans="2:8" x14ac:dyDescent="0.3">
      <c r="B93" s="57" t="s">
        <v>31</v>
      </c>
      <c r="C93" s="78"/>
      <c r="D93" s="30"/>
      <c r="E93" s="30"/>
      <c r="F93" s="4"/>
      <c r="G93" s="30"/>
      <c r="H93" s="9"/>
    </row>
    <row r="94" spans="2:8" x14ac:dyDescent="0.3">
      <c r="B94" s="47" t="s">
        <v>136</v>
      </c>
      <c r="C94" s="49">
        <v>66072.78</v>
      </c>
      <c r="D94" s="30"/>
      <c r="E94" s="30"/>
      <c r="F94" s="4"/>
      <c r="G94" s="30"/>
      <c r="H94" s="9"/>
    </row>
    <row r="95" spans="2:8" x14ac:dyDescent="0.3">
      <c r="B95" s="47" t="s">
        <v>137</v>
      </c>
      <c r="C95" s="49">
        <v>67733.377999999997</v>
      </c>
      <c r="D95" s="30"/>
      <c r="E95" s="30"/>
      <c r="F95" s="4"/>
      <c r="G95" s="30"/>
      <c r="H95" s="9"/>
    </row>
    <row r="96" spans="2:8" x14ac:dyDescent="0.3">
      <c r="B96" s="57" t="s">
        <v>3</v>
      </c>
      <c r="C96" s="78"/>
      <c r="D96" s="30"/>
      <c r="E96" s="30"/>
      <c r="F96" s="4"/>
      <c r="G96" s="30"/>
      <c r="H96" s="9"/>
    </row>
    <row r="97" spans="2:8" x14ac:dyDescent="0.3">
      <c r="B97" s="47" t="s">
        <v>121</v>
      </c>
      <c r="C97" s="49">
        <v>317689.14</v>
      </c>
      <c r="D97" s="30"/>
      <c r="E97" s="30"/>
      <c r="F97" s="4"/>
      <c r="G97" s="30"/>
      <c r="H97" s="9"/>
    </row>
    <row r="98" spans="2:8" x14ac:dyDescent="0.3">
      <c r="B98" s="57" t="s">
        <v>33</v>
      </c>
      <c r="C98" s="78"/>
      <c r="D98" s="30"/>
      <c r="E98" s="30"/>
      <c r="F98" s="4"/>
      <c r="G98" s="30"/>
      <c r="H98" s="9"/>
    </row>
    <row r="99" spans="2:8" x14ac:dyDescent="0.3">
      <c r="B99" s="47" t="s">
        <v>128</v>
      </c>
      <c r="C99" s="49">
        <v>9743.3469999999998</v>
      </c>
      <c r="D99" s="30"/>
      <c r="E99" s="30"/>
      <c r="F99" s="4"/>
      <c r="G99" s="30"/>
      <c r="H99" s="9"/>
    </row>
    <row r="100" spans="2:8" x14ac:dyDescent="0.3">
      <c r="B100" s="47" t="s">
        <v>129</v>
      </c>
      <c r="C100" s="49">
        <v>9282.0769999999993</v>
      </c>
      <c r="D100" s="30"/>
      <c r="E100" s="30"/>
      <c r="F100" s="4"/>
      <c r="G100" s="30"/>
      <c r="H100" s="9"/>
    </row>
    <row r="101" spans="2:8" x14ac:dyDescent="0.3">
      <c r="B101" s="47" t="s">
        <v>130</v>
      </c>
      <c r="C101" s="49">
        <v>9067.5030000000006</v>
      </c>
      <c r="D101" s="30"/>
      <c r="E101" s="30"/>
      <c r="F101" s="4"/>
      <c r="G101" s="30"/>
      <c r="H101" s="9"/>
    </row>
    <row r="102" spans="2:8" x14ac:dyDescent="0.3">
      <c r="B102" s="47" t="s">
        <v>131</v>
      </c>
      <c r="C102" s="49">
        <v>6581.7929999999997</v>
      </c>
      <c r="D102" s="30"/>
      <c r="E102" s="30"/>
      <c r="F102" s="4"/>
      <c r="G102" s="30"/>
      <c r="H102" s="9"/>
    </row>
    <row r="103" spans="2:8" x14ac:dyDescent="0.3">
      <c r="B103" s="47" t="s">
        <v>132</v>
      </c>
      <c r="C103" s="49">
        <v>94885.142000000007</v>
      </c>
      <c r="D103" s="30"/>
      <c r="E103" s="30"/>
      <c r="F103" s="4"/>
      <c r="G103" s="30"/>
      <c r="H103" s="9"/>
    </row>
    <row r="104" spans="2:8" x14ac:dyDescent="0.3">
      <c r="B104" s="57" t="s">
        <v>34</v>
      </c>
      <c r="C104" s="78"/>
      <c r="D104" s="30"/>
      <c r="E104" s="30"/>
      <c r="F104" s="4"/>
      <c r="G104" s="30"/>
      <c r="H104" s="9"/>
    </row>
    <row r="105" spans="2:8" x14ac:dyDescent="0.3">
      <c r="B105" s="47" t="s">
        <v>138</v>
      </c>
      <c r="C105" s="49">
        <v>83215.97</v>
      </c>
      <c r="D105" s="30"/>
      <c r="E105" s="30"/>
      <c r="F105" s="4"/>
      <c r="G105" s="30"/>
      <c r="H105" s="9"/>
    </row>
    <row r="106" spans="2:8" x14ac:dyDescent="0.3">
      <c r="B106" s="47" t="s">
        <v>139</v>
      </c>
      <c r="C106" s="49">
        <v>78275.415999999997</v>
      </c>
      <c r="D106" s="30"/>
      <c r="E106" s="30"/>
      <c r="F106" s="4"/>
      <c r="G106" s="30"/>
      <c r="H106" s="9"/>
    </row>
    <row r="107" spans="2:8" x14ac:dyDescent="0.3">
      <c r="B107" s="57" t="s">
        <v>35</v>
      </c>
      <c r="C107" s="78"/>
      <c r="D107" s="30"/>
      <c r="E107" s="30"/>
      <c r="F107" s="4"/>
      <c r="G107" s="30"/>
      <c r="H107" s="9"/>
    </row>
    <row r="108" spans="2:8" x14ac:dyDescent="0.3">
      <c r="B108" s="47" t="s">
        <v>158</v>
      </c>
      <c r="C108" s="49">
        <v>95144.05</v>
      </c>
      <c r="D108" s="30"/>
      <c r="E108" s="30"/>
      <c r="F108" s="4"/>
      <c r="G108" s="30"/>
      <c r="H108" s="9"/>
    </row>
    <row r="109" spans="2:8" x14ac:dyDescent="0.3">
      <c r="B109" s="47" t="s">
        <v>159</v>
      </c>
      <c r="C109" s="49">
        <v>98539.03</v>
      </c>
      <c r="D109" s="30"/>
      <c r="E109" s="30"/>
      <c r="F109" s="4"/>
      <c r="G109" s="30"/>
      <c r="H109" s="9"/>
    </row>
    <row r="110" spans="2:8" x14ac:dyDescent="0.3">
      <c r="B110" s="57" t="s">
        <v>4</v>
      </c>
      <c r="C110" s="78"/>
      <c r="D110" s="30"/>
      <c r="E110" s="30"/>
      <c r="F110" s="4"/>
      <c r="G110" s="30"/>
      <c r="H110" s="9"/>
    </row>
    <row r="111" spans="2:8" x14ac:dyDescent="0.3">
      <c r="B111" s="47" t="s">
        <v>151</v>
      </c>
      <c r="C111" s="49">
        <v>19288.97</v>
      </c>
      <c r="D111" s="30"/>
      <c r="E111" s="30"/>
      <c r="F111" s="4"/>
      <c r="G111" s="30"/>
      <c r="H111" s="9"/>
    </row>
    <row r="112" spans="2:8" x14ac:dyDescent="0.3">
      <c r="B112" s="57" t="s">
        <v>36</v>
      </c>
      <c r="C112" s="78"/>
      <c r="D112" s="30"/>
      <c r="E112" s="30"/>
      <c r="F112" s="4"/>
      <c r="G112" s="30"/>
      <c r="H112" s="9"/>
    </row>
    <row r="113" spans="2:8" x14ac:dyDescent="0.3">
      <c r="B113" s="47" t="s">
        <v>152</v>
      </c>
      <c r="C113" s="49">
        <v>38528.400999999998</v>
      </c>
      <c r="D113" s="30"/>
      <c r="E113" s="30"/>
      <c r="F113" s="4"/>
      <c r="G113" s="30"/>
      <c r="H113" s="9"/>
    </row>
    <row r="114" spans="2:8" x14ac:dyDescent="0.3">
      <c r="B114" s="57" t="s">
        <v>37</v>
      </c>
      <c r="C114" s="78"/>
      <c r="D114" s="30"/>
      <c r="E114" s="30"/>
      <c r="F114" s="4"/>
      <c r="G114" s="30"/>
      <c r="H114" s="9"/>
    </row>
    <row r="115" spans="2:8" x14ac:dyDescent="0.3">
      <c r="B115" s="47" t="s">
        <v>153</v>
      </c>
      <c r="C115" s="49">
        <v>17363.156999999999</v>
      </c>
      <c r="D115" s="30"/>
      <c r="E115" s="30"/>
      <c r="F115" s="4"/>
      <c r="G115" s="30"/>
      <c r="H115" s="9"/>
    </row>
    <row r="116" spans="2:8" x14ac:dyDescent="0.3">
      <c r="B116" s="57" t="s">
        <v>38</v>
      </c>
      <c r="C116" s="78"/>
      <c r="D116" s="30"/>
      <c r="E116" s="30"/>
      <c r="F116" s="4"/>
      <c r="G116" s="30"/>
      <c r="H116" s="9"/>
    </row>
    <row r="117" spans="2:8" x14ac:dyDescent="0.3">
      <c r="B117" s="47" t="s">
        <v>140</v>
      </c>
      <c r="C117" s="49">
        <v>4554.1049999999996</v>
      </c>
      <c r="D117" s="30"/>
      <c r="E117" s="30"/>
      <c r="F117" s="4"/>
      <c r="G117" s="30"/>
      <c r="H117" s="9"/>
    </row>
    <row r="118" spans="2:8" x14ac:dyDescent="0.3">
      <c r="B118" s="47" t="s">
        <v>141</v>
      </c>
      <c r="C118" s="49">
        <v>4563.4110000000001</v>
      </c>
      <c r="D118" s="30"/>
      <c r="E118" s="30"/>
      <c r="F118" s="4"/>
      <c r="G118" s="30"/>
      <c r="H118" s="9"/>
    </row>
    <row r="119" spans="2:8" x14ac:dyDescent="0.3">
      <c r="B119" s="57" t="s">
        <v>39</v>
      </c>
      <c r="C119" s="78"/>
      <c r="D119" s="30"/>
      <c r="E119" s="30"/>
      <c r="F119" s="4"/>
      <c r="G119" s="30"/>
      <c r="H119" s="9"/>
    </row>
    <row r="120" spans="2:8" x14ac:dyDescent="0.3">
      <c r="B120" s="47" t="s">
        <v>154</v>
      </c>
      <c r="C120" s="49">
        <v>17331.444</v>
      </c>
      <c r="D120" s="30"/>
      <c r="E120" s="30"/>
      <c r="F120" s="4"/>
      <c r="G120" s="30"/>
      <c r="H120" s="9"/>
    </row>
    <row r="121" spans="2:8" x14ac:dyDescent="0.3">
      <c r="B121" s="57" t="s">
        <v>5</v>
      </c>
      <c r="C121" s="78"/>
      <c r="D121" s="30"/>
      <c r="E121" s="30"/>
      <c r="F121" s="4"/>
      <c r="G121" s="30"/>
      <c r="H121" s="9"/>
    </row>
    <row r="122" spans="2:8" x14ac:dyDescent="0.3">
      <c r="B122" s="47" t="s">
        <v>155</v>
      </c>
      <c r="C122" s="49">
        <v>4002.56</v>
      </c>
      <c r="D122" s="30"/>
      <c r="E122" s="30"/>
      <c r="F122" s="4"/>
      <c r="G122" s="30"/>
      <c r="H122" s="9"/>
    </row>
    <row r="123" spans="2:8" x14ac:dyDescent="0.3">
      <c r="B123" s="57" t="s">
        <v>40</v>
      </c>
      <c r="C123" s="78"/>
      <c r="D123" s="30"/>
      <c r="E123" s="30"/>
      <c r="F123" s="4"/>
      <c r="G123" s="30"/>
      <c r="H123" s="9"/>
    </row>
    <row r="124" spans="2:8" x14ac:dyDescent="0.3">
      <c r="B124" s="47" t="s">
        <v>135</v>
      </c>
      <c r="C124" s="49">
        <v>71701.509999999995</v>
      </c>
      <c r="D124" s="30"/>
      <c r="E124" s="30"/>
      <c r="F124" s="4"/>
      <c r="G124" s="30"/>
      <c r="H124" s="9"/>
    </row>
    <row r="125" spans="2:8" x14ac:dyDescent="0.3">
      <c r="B125" s="57" t="s">
        <v>2</v>
      </c>
      <c r="C125" s="78"/>
      <c r="D125" s="30"/>
      <c r="E125" s="30"/>
      <c r="F125" s="4"/>
      <c r="G125" s="30"/>
      <c r="H125" s="9"/>
    </row>
    <row r="126" spans="2:8" x14ac:dyDescent="0.3">
      <c r="B126" s="47" t="s">
        <v>122</v>
      </c>
      <c r="C126" s="49">
        <v>477614.6</v>
      </c>
      <c r="D126" s="30"/>
      <c r="E126" s="30"/>
      <c r="F126" s="4"/>
      <c r="G126" s="30"/>
      <c r="H126" s="9"/>
    </row>
    <row r="127" spans="2:8" x14ac:dyDescent="0.3">
      <c r="B127" s="57" t="s">
        <v>42</v>
      </c>
      <c r="C127" s="78"/>
      <c r="D127" s="30"/>
      <c r="E127" s="30"/>
      <c r="F127" s="4"/>
      <c r="G127" s="30"/>
      <c r="H127" s="9"/>
    </row>
    <row r="128" spans="2:8" x14ac:dyDescent="0.3">
      <c r="B128" s="47" t="s">
        <v>133</v>
      </c>
      <c r="C128" s="49">
        <v>40391.101000000002</v>
      </c>
      <c r="D128" s="30"/>
      <c r="E128" s="30"/>
      <c r="F128" s="4"/>
      <c r="G128" s="30"/>
      <c r="H128" s="9"/>
    </row>
    <row r="129" spans="2:8" x14ac:dyDescent="0.3">
      <c r="B129" s="47" t="s">
        <v>134</v>
      </c>
      <c r="C129" s="49">
        <v>46044.358999999997</v>
      </c>
      <c r="D129" s="30"/>
      <c r="E129" s="30"/>
      <c r="F129" s="4"/>
      <c r="G129" s="30"/>
      <c r="H129" s="9"/>
    </row>
    <row r="130" spans="2:8" x14ac:dyDescent="0.3">
      <c r="B130" s="57" t="s">
        <v>43</v>
      </c>
      <c r="C130" s="78"/>
      <c r="D130" s="30"/>
      <c r="E130" s="30"/>
      <c r="F130" s="4"/>
      <c r="G130" s="30"/>
      <c r="H130" s="9"/>
    </row>
    <row r="131" spans="2:8" x14ac:dyDescent="0.3">
      <c r="B131" s="47" t="s">
        <v>124</v>
      </c>
      <c r="C131" s="49">
        <v>15926.226000000001</v>
      </c>
      <c r="D131" s="30"/>
      <c r="E131" s="30"/>
      <c r="F131" s="4"/>
      <c r="G131" s="30"/>
      <c r="H131" s="9"/>
    </row>
    <row r="132" spans="2:8" x14ac:dyDescent="0.3">
      <c r="B132" s="57" t="s">
        <v>46</v>
      </c>
      <c r="C132" s="78"/>
      <c r="D132" s="30"/>
      <c r="E132" s="30"/>
      <c r="F132" s="4"/>
      <c r="G132" s="30"/>
      <c r="H132" s="9"/>
    </row>
    <row r="133" spans="2:8" x14ac:dyDescent="0.3">
      <c r="B133" s="47" t="s">
        <v>150</v>
      </c>
      <c r="C133" s="49">
        <v>206067.00099999999</v>
      </c>
      <c r="D133" s="30"/>
      <c r="E133" s="30"/>
      <c r="F133" s="4"/>
      <c r="G133" s="30"/>
      <c r="H133" s="9"/>
    </row>
    <row r="134" spans="2:8" x14ac:dyDescent="0.3">
      <c r="B134" s="57" t="s">
        <v>1</v>
      </c>
      <c r="C134" s="78"/>
      <c r="D134" s="30"/>
      <c r="E134" s="30"/>
      <c r="F134" s="4"/>
      <c r="G134" s="30"/>
      <c r="H134" s="9"/>
    </row>
    <row r="135" spans="2:8" x14ac:dyDescent="0.3">
      <c r="B135" s="47" t="s">
        <v>123</v>
      </c>
      <c r="C135" s="49">
        <v>11062.147000000001</v>
      </c>
      <c r="D135" s="30"/>
      <c r="E135" s="30"/>
      <c r="F135" s="4"/>
      <c r="G135" s="30"/>
      <c r="H135" s="9"/>
    </row>
    <row r="136" spans="2:8" x14ac:dyDescent="0.3">
      <c r="F136" s="9"/>
    </row>
    <row r="137" spans="2:8" ht="28.8" x14ac:dyDescent="0.3">
      <c r="B137" s="84" t="s">
        <v>164</v>
      </c>
      <c r="C137" s="79" t="s">
        <v>165</v>
      </c>
      <c r="D137" s="99"/>
      <c r="E137" s="99"/>
      <c r="F137" s="4"/>
    </row>
    <row r="138" spans="2:8" x14ac:dyDescent="0.3">
      <c r="B138" s="7" t="s">
        <v>12</v>
      </c>
      <c r="C138" s="85">
        <f>+SUM(C139:C140)</f>
        <v>64040.52</v>
      </c>
      <c r="D138" s="31"/>
      <c r="E138" s="31"/>
      <c r="F138" s="14"/>
    </row>
    <row r="139" spans="2:8" x14ac:dyDescent="0.3">
      <c r="B139" s="57" t="s">
        <v>13</v>
      </c>
      <c r="C139" s="78"/>
      <c r="D139" s="30"/>
      <c r="E139" s="30"/>
      <c r="F139" s="4"/>
    </row>
    <row r="140" spans="2:8" x14ac:dyDescent="0.3">
      <c r="B140" s="47" t="s">
        <v>191</v>
      </c>
      <c r="C140" s="49">
        <v>64040.52</v>
      </c>
    </row>
  </sheetData>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25</vt:i4>
      </vt:variant>
    </vt:vector>
  </HeadingPairs>
  <TitlesOfParts>
    <vt:vector size="25" baseType="lpstr">
      <vt:lpstr>Start</vt:lpstr>
      <vt:lpstr>Grid-EF</vt:lpstr>
      <vt:lpstr>OM_EF_2017</vt:lpstr>
      <vt:lpstr>OM_EF_2016</vt:lpstr>
      <vt:lpstr>OM_EF_2015</vt:lpstr>
      <vt:lpstr>OM_EF_2014</vt:lpstr>
      <vt:lpstr>OM_EF_2013</vt:lpstr>
      <vt:lpstr>OM_EF_2012</vt:lpstr>
      <vt:lpstr>OM_EF_2011</vt:lpstr>
      <vt:lpstr>OM_EF_2010</vt:lpstr>
      <vt:lpstr>OM_EF_2009</vt:lpstr>
      <vt:lpstr>OM_EF_2008</vt:lpstr>
      <vt:lpstr>BM_EF_2017</vt:lpstr>
      <vt:lpstr>BM_EF_2010</vt:lpstr>
      <vt:lpstr>GHG-ER</vt:lpstr>
      <vt:lpstr>GHG-ER-SC-&gt;CC</vt:lpstr>
      <vt:lpstr>Investment</vt:lpstr>
      <vt:lpstr>Levelized Cost</vt:lpstr>
      <vt:lpstr>Scenario_Current_Demand</vt:lpstr>
      <vt:lpstr>Scenario_NDC</vt:lpstr>
      <vt:lpstr>Scenario_100%_RE</vt:lpstr>
      <vt:lpstr>Graphs</vt:lpstr>
      <vt:lpstr>Leakage_EF_2010</vt:lpstr>
      <vt:lpstr>Unit_EF_2008</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Arango</dc:creator>
  <cp:lastModifiedBy>pc</cp:lastModifiedBy>
  <dcterms:created xsi:type="dcterms:W3CDTF">2018-10-29T19:38:07Z</dcterms:created>
  <dcterms:modified xsi:type="dcterms:W3CDTF">2018-11-28T23:52:20Z</dcterms:modified>
</cp:coreProperties>
</file>